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1. ES JP 1-25 - NOVO\Решење за објаву\"/>
    </mc:Choice>
  </mc:AlternateContent>
  <xr:revisionPtr revIDLastSave="0" documentId="13_ncr:1_{AEC8DDC3-60EB-4919-BC7A-527BC21B1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Lis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6" i="2" l="1"/>
  <c r="G116" i="2"/>
  <c r="H53" i="2"/>
  <c r="G112" i="2" l="1"/>
  <c r="G111" i="2"/>
  <c r="H81" i="2"/>
  <c r="G80" i="2"/>
  <c r="H110" i="2"/>
  <c r="G110" i="2"/>
  <c r="H109" i="2"/>
  <c r="G109" i="2"/>
  <c r="H108" i="2"/>
  <c r="G108" i="2"/>
  <c r="H107" i="2"/>
  <c r="G107" i="2"/>
  <c r="G106" i="2"/>
  <c r="H105" i="2"/>
  <c r="G105" i="2"/>
  <c r="H104" i="2"/>
  <c r="G104" i="2"/>
  <c r="G103" i="2"/>
  <c r="H103" i="2"/>
  <c r="H101" i="2"/>
  <c r="G101" i="2"/>
  <c r="H99" i="2"/>
  <c r="H100" i="2"/>
  <c r="H97" i="2"/>
  <c r="G93" i="2"/>
  <c r="H92" i="2"/>
  <c r="H91" i="2"/>
  <c r="H90" i="2"/>
  <c r="G90" i="2"/>
  <c r="H89" i="2"/>
  <c r="G89" i="2"/>
  <c r="H78" i="2"/>
  <c r="H88" i="2"/>
  <c r="H71" i="2"/>
  <c r="G86" i="2"/>
  <c r="H83" i="2"/>
  <c r="G83" i="2"/>
  <c r="H84" i="2"/>
  <c r="G84" i="2"/>
  <c r="H82" i="2"/>
  <c r="G82" i="2"/>
  <c r="H79" i="2"/>
  <c r="G79" i="2"/>
  <c r="G78" i="2"/>
  <c r="H76" i="2"/>
  <c r="G76" i="2"/>
  <c r="H72" i="2"/>
  <c r="G70" i="2"/>
  <c r="H69" i="2"/>
  <c r="G69" i="2"/>
  <c r="H62" i="2"/>
  <c r="G62" i="2"/>
  <c r="H68" i="2"/>
  <c r="G68" i="2"/>
  <c r="G67" i="2"/>
  <c r="H67" i="2"/>
  <c r="H66" i="2"/>
  <c r="G66" i="2"/>
  <c r="H65" i="2"/>
  <c r="H64" i="2"/>
  <c r="H63" i="2"/>
  <c r="G63" i="2"/>
  <c r="H61" i="2"/>
  <c r="H60" i="2"/>
  <c r="H59" i="2"/>
  <c r="G59" i="2"/>
  <c r="H58" i="2"/>
  <c r="H57" i="2"/>
  <c r="H56" i="2"/>
  <c r="H54" i="2"/>
  <c r="G54" i="2"/>
  <c r="G53" i="2"/>
  <c r="H52" i="2"/>
  <c r="G52" i="2"/>
  <c r="H51" i="2"/>
  <c r="H50" i="2"/>
  <c r="G50" i="2"/>
  <c r="H49" i="2"/>
  <c r="G49" i="2"/>
  <c r="H48" i="2"/>
  <c r="H47" i="2"/>
  <c r="G47" i="2"/>
  <c r="H46" i="2"/>
  <c r="H45" i="2"/>
  <c r="H44" i="2"/>
  <c r="G44" i="2"/>
  <c r="H42" i="2"/>
  <c r="G42" i="2"/>
  <c r="H40" i="2"/>
  <c r="G40" i="2"/>
  <c r="H39" i="2"/>
  <c r="H37" i="2"/>
  <c r="H36" i="2"/>
  <c r="H35" i="2"/>
  <c r="H34" i="2"/>
  <c r="H33" i="2"/>
  <c r="H32" i="2"/>
  <c r="H30" i="2"/>
  <c r="H28" i="2"/>
  <c r="H26" i="2"/>
  <c r="H25" i="2"/>
  <c r="H24" i="2"/>
  <c r="H23" i="2"/>
  <c r="H22" i="2"/>
  <c r="H21" i="2"/>
  <c r="H20" i="2"/>
  <c r="H19" i="2"/>
  <c r="H17" i="2"/>
  <c r="H16" i="2"/>
  <c r="H15" i="2"/>
  <c r="H14" i="2"/>
</calcChain>
</file>

<file path=xl/sharedStrings.xml><?xml version="1.0" encoding="utf-8"?>
<sst xmlns="http://schemas.openxmlformats.org/spreadsheetml/2006/main" count="291" uniqueCount="159">
  <si>
    <t>Ивањица</t>
  </si>
  <si>
    <t>4, 7, 10</t>
  </si>
  <si>
    <t>2, 10</t>
  </si>
  <si>
    <t>5, 7, 10</t>
  </si>
  <si>
    <t>2, 4, 7, 10</t>
  </si>
  <si>
    <t>4, 10</t>
  </si>
  <si>
    <t>1, 4, 7, 10</t>
  </si>
  <si>
    <t>1, 9</t>
  </si>
  <si>
    <t>1, 5, 10</t>
  </si>
  <si>
    <t>1, 2, 10</t>
  </si>
  <si>
    <t>5,10</t>
  </si>
  <si>
    <t>5, 10</t>
  </si>
  <si>
    <t>5,7,10</t>
  </si>
  <si>
    <t>4,7,10</t>
  </si>
  <si>
    <t>4, 7</t>
  </si>
  <si>
    <t>4, 7, 9, 10</t>
  </si>
  <si>
    <t>Редни број</t>
  </si>
  <si>
    <t>УКУПНО :</t>
  </si>
  <si>
    <t>Република Србија</t>
  </si>
  <si>
    <t>ОПШТИНА ИВАЊИЦА</t>
  </si>
  <si>
    <t>Комисија за реализацију</t>
  </si>
  <si>
    <t>мера енергетске санације</t>
  </si>
  <si>
    <t>РЕШЕЊЕ</t>
  </si>
  <si>
    <t xml:space="preserve">           II  Листу домаћинстава из тачке I овог решења објавити на интернет порталу општине Ивањица:  www.ivanjica.gov.rs.</t>
  </si>
  <si>
    <t xml:space="preserve">Вукоман Величковић  </t>
  </si>
  <si>
    <t>Име и презиме</t>
  </si>
  <si>
    <t>Мирослав Колаковић</t>
  </si>
  <si>
    <t>Станица Томић</t>
  </si>
  <si>
    <t>Властимир Јаковљевић</t>
  </si>
  <si>
    <t xml:space="preserve">Љиљана Шљивић </t>
  </si>
  <si>
    <t>Првослав Баковић</t>
  </si>
  <si>
    <t>Раденко Николић</t>
  </si>
  <si>
    <t>Бранка Чабаркапа</t>
  </si>
  <si>
    <t>Иван Главинић</t>
  </si>
  <si>
    <t>Душко Дамљановић</t>
  </si>
  <si>
    <t>Мара Парезановић</t>
  </si>
  <si>
    <t>Милован Ристивојевић</t>
  </si>
  <si>
    <t xml:space="preserve">           III  Председник општине Ивањица, Александар Митровић, или лице које он овласти, ће закључити уговоре са крајњим корисницима којима су решењем одобрена средства и директним корисником који ће изводити/пројектовати радове.</t>
  </si>
  <si>
    <t>О б р а з л о ж е њ е</t>
  </si>
  <si>
    <t>Заводни број пријаве</t>
  </si>
  <si>
    <t>Радојло Ћубрк</t>
  </si>
  <si>
    <t>Лазар Ефтовски</t>
  </si>
  <si>
    <t>Зоран Џибраковић</t>
  </si>
  <si>
    <t>Зоран Радоњић</t>
  </si>
  <si>
    <t>Миланко Розгић</t>
  </si>
  <si>
    <t xml:space="preserve">Мирјана Лазовић </t>
  </si>
  <si>
    <t>Ракила Боторић</t>
  </si>
  <si>
    <t>Миланко Оцокољић</t>
  </si>
  <si>
    <t>Зоран Дамљановић</t>
  </si>
  <si>
    <t>Јеремија Кушић</t>
  </si>
  <si>
    <t>Шуме</t>
  </si>
  <si>
    <t>Буковица</t>
  </si>
  <si>
    <t>Дубрава</t>
  </si>
  <si>
    <t>Јесениште</t>
  </si>
  <si>
    <t>Свештица</t>
  </si>
  <si>
    <t>Куманица</t>
  </si>
  <si>
    <t>Прилике</t>
  </si>
  <si>
    <t>Косовица</t>
  </si>
  <si>
    <t>Бедина Варош</t>
  </si>
  <si>
    <t>Петар Сарић</t>
  </si>
  <si>
    <t>Милош Јовановић</t>
  </si>
  <si>
    <t>Милош Бешевић</t>
  </si>
  <si>
    <t>Милутин Јованчић</t>
  </si>
  <si>
    <t>Богомир Милованчевић</t>
  </si>
  <si>
    <t>Желимир Лаковић</t>
  </si>
  <si>
    <t>Здравко Боторић</t>
  </si>
  <si>
    <t>Панто Лишанин</t>
  </si>
  <si>
    <t>Драгица Вратоњић</t>
  </si>
  <si>
    <t>Момир Зорић</t>
  </si>
  <si>
    <t>Милан Мијаиловић</t>
  </si>
  <si>
    <t>Видан Милорадовић</t>
  </si>
  <si>
    <t>Милан Аврамовић</t>
  </si>
  <si>
    <t>Миланка Петровић</t>
  </si>
  <si>
    <t>Перо Матовић</t>
  </si>
  <si>
    <t>Милица Димитријевић</t>
  </si>
  <si>
    <t>Душко Марковић</t>
  </si>
  <si>
    <t>Душко Сретеновић</t>
  </si>
  <si>
    <t>Љиљана Ђоновић</t>
  </si>
  <si>
    <t>Драгослав Марковић</t>
  </si>
  <si>
    <t>Слободан Милосављевић</t>
  </si>
  <si>
    <t>Драган Василијевић</t>
  </si>
  <si>
    <t>Миодраг Павловић</t>
  </si>
  <si>
    <t>Владан Драмићанин</t>
  </si>
  <si>
    <t>Снежана Ђорђевић</t>
  </si>
  <si>
    <t>Боривоје Милићевић</t>
  </si>
  <si>
    <t>Радосав Ђоковић</t>
  </si>
  <si>
    <t>Стеван Ђоковић</t>
  </si>
  <si>
    <t>Вера Ристић</t>
  </si>
  <si>
    <t>Сретен Лабудовић</t>
  </si>
  <si>
    <t>Негослав Марковић</t>
  </si>
  <si>
    <t>Дејан Јовановић</t>
  </si>
  <si>
    <t>Миладин Мартиновић</t>
  </si>
  <si>
    <t>Мирољуб Мићић</t>
  </si>
  <si>
    <t>Милена Давидовић</t>
  </si>
  <si>
    <t>Јелена Филиповић</t>
  </si>
  <si>
    <t>Милан Ђурашевић</t>
  </si>
  <si>
    <t>Петар Николић</t>
  </si>
  <si>
    <t xml:space="preserve">Станко Мутавџић </t>
  </si>
  <si>
    <t>Исаило Крунић</t>
  </si>
  <si>
    <t>Братислав Луковић</t>
  </si>
  <si>
    <t>Драгомир Шулубурић</t>
  </si>
  <si>
    <t>Стојан Перуничић</t>
  </si>
  <si>
    <t>Милорад Драгутиновић</t>
  </si>
  <si>
    <t>Јован Алексић</t>
  </si>
  <si>
    <t>Вера Алексић</t>
  </si>
  <si>
    <t>Радованка Марјановић</t>
  </si>
  <si>
    <t>Драган Мојсиловић</t>
  </si>
  <si>
    <t>Новица Ћурчић</t>
  </si>
  <si>
    <t>Даринка Савић</t>
  </si>
  <si>
    <t>Снежана Глинтић</t>
  </si>
  <si>
    <t>Иван Савић</t>
  </si>
  <si>
    <t>Миленка Лугић</t>
  </si>
  <si>
    <t>Драган Цветковић</t>
  </si>
  <si>
    <t>Зоран Поповић</t>
  </si>
  <si>
    <t>Даница Дуканац</t>
  </si>
  <si>
    <t>Станисава Ресимић</t>
  </si>
  <si>
    <t>Душан Васић</t>
  </si>
  <si>
    <t>Миланка Орестијевић</t>
  </si>
  <si>
    <t>Горица Миленковић</t>
  </si>
  <si>
    <t>Радмила Трнавац</t>
  </si>
  <si>
    <t>Радојица Мартиновић</t>
  </si>
  <si>
    <t>Миленко Стевановић</t>
  </si>
  <si>
    <t>Предраг Парезановић</t>
  </si>
  <si>
    <t xml:space="preserve">Душко Перуничић </t>
  </si>
  <si>
    <t>Слађана Борисављевић</t>
  </si>
  <si>
    <t>Зоран Орестијевић</t>
  </si>
  <si>
    <t>Лазар Николић</t>
  </si>
  <si>
    <t>Добрица Радовановић</t>
  </si>
  <si>
    <t>Игор Митровић</t>
  </si>
  <si>
    <t>Мира Цукавац</t>
  </si>
  <si>
    <t>Ана Ристановић</t>
  </si>
  <si>
    <t>Драгана Ђоковић</t>
  </si>
  <si>
    <t>Мијат Симеуновић</t>
  </si>
  <si>
    <t>Драгана Зечевић</t>
  </si>
  <si>
    <t>Милош Милошевић</t>
  </si>
  <si>
    <t>Савка Недељковић</t>
  </si>
  <si>
    <t>Зоран Пандуровић</t>
  </si>
  <si>
    <t>Душко Цвијић</t>
  </si>
  <si>
    <t xml:space="preserve">           Пријем и контролу приспелих пријава грађана Комисија је вршила свакодневно ради утврђивања испуњености услова за доделу бесповратних средстава за суфинансирање мера енергетске санације, који су дефинисани Правилником о суфинансирању мера енергетске санације породичних кућа и станова у оквиру пројекта "Чиста енергија и енергетска ефикасност за грађане у Србији" и Јавним позивом.</t>
  </si>
  <si>
    <t xml:space="preserve">            Потом је Комисија извршила теренски обилазак ради оцене почетног стања објекта и веродостојности података из поднете пријаве, као и оправданости предложених мера енергетске санације, по пријавама до испуњености уговором опредељених средстава. Приликом теренског обиласка уз обавезно присуство подносиоца захтева, Комисија је сачинила записник који су потписали чланови Комисије и подносилац захтева. Комисија је у записнику констатовала да ли су мере наведене у предмеру и предрачуну који је грађанин поднео приликом пријаве на јавни позив прихватљиве, уз навођење свих релевантних података везаних за објекат који се односе на габарит, спратност и време изградње објекта, врсту и утрошак енергента, итд. </t>
  </si>
  <si>
    <r>
      <t xml:space="preserve">            Листа домаћинстава којима су тачком I решења одобрена средства за финансирање програма биће објављена на интернет порталу општине Ивањица: </t>
    </r>
    <r>
      <rPr>
        <u/>
        <sz val="12"/>
        <color theme="1"/>
        <rFont val="Times New Roman"/>
        <family val="1"/>
      </rPr>
      <t>www.ivanjica.gov.rs</t>
    </r>
    <r>
      <rPr>
        <sz val="12"/>
        <color theme="1"/>
        <rFont val="Times New Roman"/>
        <family val="1"/>
      </rPr>
      <t>.</t>
    </r>
  </si>
  <si>
    <r>
      <t xml:space="preserve">УПУТСТВО О ПРАВНОМ СРЕДСТВУ: </t>
    </r>
    <r>
      <rPr>
        <sz val="12"/>
        <color theme="1"/>
        <rFont val="Times New Roman"/>
        <family val="1"/>
      </rPr>
      <t>Против овог решења приговор није дозвољен.</t>
    </r>
  </si>
  <si>
    <t>Решење доставити:</t>
  </si>
  <si>
    <t>ПРЕДСЕДНИК КОМИСИЈЕ</t>
  </si>
  <si>
    <t>Светлана Јовићевић</t>
  </si>
  <si>
    <t>Додељена средства</t>
  </si>
  <si>
    <t>Укупна предрачунска вредност</t>
  </si>
  <si>
    <t>Адреса</t>
  </si>
  <si>
    <t>Број мере/а</t>
  </si>
  <si>
    <t>`-свим подноциоцима пријава,</t>
  </si>
  <si>
    <t>`-један примерак за архиву.</t>
  </si>
  <si>
    <t xml:space="preserve">            Чланом 24. Правилника прописана је и надлежност председника општине за закључивање уговора са крајњим корисницима којима су решењем одобрена средства и директним корисником који ће изводити радове.                                                                          </t>
  </si>
  <si>
    <t xml:space="preserve">           На основу Одлуке Општинског већа општине Ивањица, Комисија за реализацију мера енергетске санације расписала је Јавни позив за суфинансирање мера енергетске санације породичних кућа и станова на територији општине Ивањица за 2025/26. годину, дана 12.12.2025. године.</t>
  </si>
  <si>
    <t xml:space="preserve">            На основу овако утврђеног чињеничног стања Комисија је, на основу члана 24. став. 1. Правилника и поглавља XIV и XV Јавног позива и утврдила да подносиоци пријава наведени у тачки један диспозитива решења (у табели) у потпуности испуњавају услове за доделу средстава за суфинансирање мера енергетске санације као крајњи корисници - домаћинстава.</t>
  </si>
  <si>
    <t>Миленко Јовичић</t>
  </si>
  <si>
    <t>11.02.2026. године</t>
  </si>
  <si>
    <t xml:space="preserve">           На основу члана 24. Правилника о суфинансирању мера енергетске санације породичних кућа и станова у оквиру пројекта "Чиста енергија и енергетска ефикасност за грађане у Србији" ("Службени лист општине Ивањица" број 8/2025), Комисија за реализацију мера енергетске санације општине Ивањица, дана 11.02.2026. године, донела је</t>
  </si>
  <si>
    <t xml:space="preserve">Број: 004837336 2025 05158 004 001 020 271-01 </t>
  </si>
  <si>
    <t xml:space="preserve">           I  УТВРЂУЈЕ СЕ испуњеност услова за доделу бесповратних средстава за спровођење мера енергетске санације породичних кућа и станова на територији општине Ивањица за 2025/26. годину, за следеће подносиоце пријава, односно крајње кориснике из категорије "ОГ"- остали грађани: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</si>
</sst>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6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8"/>
  <sheetViews>
    <sheetView tabSelected="1" zoomScale="94" zoomScaleNormal="94" workbookViewId="0">
      <selection activeCell="S16" sqref="S16"/>
    </sheetView>
  </sheetViews>
  <sheetFormatPr defaultColWidth="9.140625" defaultRowHeight="15" x14ac:dyDescent="0.25"/>
  <cols>
    <col min="1" max="1" width="7.140625" style="7" customWidth="1"/>
    <col min="2" max="2" width="11.42578125" style="7" customWidth="1"/>
    <col min="3" max="3" width="12" style="7" customWidth="1"/>
    <col min="4" max="4" width="14.7109375" style="7" customWidth="1"/>
    <col min="5" max="5" width="10.28515625" style="7" customWidth="1"/>
    <col min="6" max="6" width="15.140625" style="7" customWidth="1"/>
    <col min="7" max="7" width="17.7109375" style="7" customWidth="1"/>
    <col min="8" max="8" width="16.28515625" style="7" customWidth="1"/>
    <col min="9" max="16384" width="9.140625" style="7"/>
  </cols>
  <sheetData>
    <row r="1" spans="1:8" ht="15.75" x14ac:dyDescent="0.25">
      <c r="A1" s="32" t="s">
        <v>18</v>
      </c>
      <c r="B1" s="33"/>
      <c r="C1" s="33"/>
      <c r="D1" s="33"/>
    </row>
    <row r="2" spans="1:8" ht="15.75" x14ac:dyDescent="0.25">
      <c r="A2" s="32" t="s">
        <v>19</v>
      </c>
      <c r="B2" s="32"/>
      <c r="C2" s="32"/>
      <c r="D2" s="32"/>
    </row>
    <row r="3" spans="1:8" ht="15.75" x14ac:dyDescent="0.25">
      <c r="A3" s="32" t="s">
        <v>20</v>
      </c>
      <c r="B3" s="32"/>
      <c r="C3" s="32"/>
      <c r="D3" s="32"/>
    </row>
    <row r="4" spans="1:8" ht="15.75" x14ac:dyDescent="0.25">
      <c r="A4" s="32" t="s">
        <v>21</v>
      </c>
      <c r="B4" s="32"/>
      <c r="C4" s="32"/>
      <c r="D4" s="32"/>
    </row>
    <row r="5" spans="1:8" ht="15.75" x14ac:dyDescent="0.25">
      <c r="A5" s="32" t="s">
        <v>157</v>
      </c>
      <c r="B5" s="32"/>
      <c r="C5" s="32"/>
      <c r="D5" s="32"/>
      <c r="E5" s="32"/>
    </row>
    <row r="6" spans="1:8" ht="15.75" x14ac:dyDescent="0.25">
      <c r="A6" s="32" t="s">
        <v>155</v>
      </c>
      <c r="B6" s="32"/>
      <c r="C6" s="32"/>
      <c r="D6" s="32"/>
    </row>
    <row r="7" spans="1:8" ht="15.75" x14ac:dyDescent="0.25">
      <c r="A7" s="32" t="s">
        <v>0</v>
      </c>
      <c r="B7" s="32"/>
      <c r="C7" s="32"/>
      <c r="D7" s="32"/>
    </row>
    <row r="8" spans="1:8" ht="29.25" customHeight="1" x14ac:dyDescent="0.25">
      <c r="A8" s="37"/>
      <c r="B8" s="37"/>
      <c r="C8" s="37"/>
      <c r="D8" s="37"/>
      <c r="E8" s="37"/>
      <c r="F8" s="37"/>
      <c r="G8" s="37"/>
      <c r="H8" s="37"/>
    </row>
    <row r="9" spans="1:8" ht="62.45" customHeight="1" x14ac:dyDescent="0.25">
      <c r="A9" s="34" t="s">
        <v>156</v>
      </c>
      <c r="B9" s="35"/>
      <c r="C9" s="35"/>
      <c r="D9" s="35"/>
      <c r="E9" s="35"/>
      <c r="F9" s="35"/>
      <c r="G9" s="35"/>
      <c r="H9" s="35"/>
    </row>
    <row r="10" spans="1:8" ht="38.25" customHeight="1" x14ac:dyDescent="0.25">
      <c r="A10" s="36" t="s">
        <v>22</v>
      </c>
      <c r="B10" s="36"/>
      <c r="C10" s="36"/>
      <c r="D10" s="36"/>
      <c r="E10" s="36"/>
      <c r="F10" s="36"/>
      <c r="G10" s="36"/>
      <c r="H10" s="36"/>
    </row>
    <row r="11" spans="1:8" ht="15" customHeight="1" x14ac:dyDescent="0.25">
      <c r="A11" s="30" t="s">
        <v>158</v>
      </c>
      <c r="B11" s="31"/>
      <c r="C11" s="31"/>
      <c r="D11" s="31"/>
      <c r="E11" s="31"/>
      <c r="F11" s="31"/>
      <c r="G11" s="31"/>
      <c r="H11" s="31"/>
    </row>
    <row r="12" spans="1:8" ht="51.75" customHeight="1" x14ac:dyDescent="0.25">
      <c r="A12" s="31"/>
      <c r="B12" s="31"/>
      <c r="C12" s="31"/>
      <c r="D12" s="31"/>
      <c r="E12" s="31"/>
      <c r="F12" s="31"/>
      <c r="G12" s="31"/>
      <c r="H12" s="31"/>
    </row>
    <row r="13" spans="1:8" ht="38.450000000000003" customHeight="1" x14ac:dyDescent="0.25">
      <c r="A13" s="26" t="s">
        <v>16</v>
      </c>
      <c r="B13" s="26" t="s">
        <v>39</v>
      </c>
      <c r="C13" s="27" t="s">
        <v>148</v>
      </c>
      <c r="D13" s="40" t="s">
        <v>25</v>
      </c>
      <c r="E13" s="40"/>
      <c r="F13" s="27" t="s">
        <v>147</v>
      </c>
      <c r="G13" s="27" t="s">
        <v>146</v>
      </c>
      <c r="H13" s="28" t="s">
        <v>145</v>
      </c>
    </row>
    <row r="14" spans="1:8" ht="31.5" customHeight="1" x14ac:dyDescent="0.25">
      <c r="A14" s="23">
        <v>1</v>
      </c>
      <c r="B14" s="4">
        <v>1</v>
      </c>
      <c r="C14" s="3" t="s">
        <v>1</v>
      </c>
      <c r="D14" s="39" t="s">
        <v>24</v>
      </c>
      <c r="E14" s="39"/>
      <c r="F14" s="17" t="s">
        <v>0</v>
      </c>
      <c r="G14" s="18">
        <v>258000</v>
      </c>
      <c r="H14" s="18">
        <f>95000+9000+24000</f>
        <v>128000</v>
      </c>
    </row>
    <row r="15" spans="1:8" s="8" customFormat="1" ht="30.75" customHeight="1" x14ac:dyDescent="0.25">
      <c r="A15" s="16">
        <v>2</v>
      </c>
      <c r="B15" s="5">
        <v>2</v>
      </c>
      <c r="C15" s="5">
        <v>1</v>
      </c>
      <c r="D15" s="41" t="s">
        <v>26</v>
      </c>
      <c r="E15" s="41"/>
      <c r="F15" s="5" t="s">
        <v>0</v>
      </c>
      <c r="G15" s="19">
        <v>375240</v>
      </c>
      <c r="H15" s="19">
        <f>170000</f>
        <v>170000</v>
      </c>
    </row>
    <row r="16" spans="1:8" ht="29.45" customHeight="1" x14ac:dyDescent="0.25">
      <c r="A16" s="23">
        <v>3</v>
      </c>
      <c r="B16" s="4">
        <v>3</v>
      </c>
      <c r="C16" s="5">
        <v>1</v>
      </c>
      <c r="D16" s="38" t="s">
        <v>27</v>
      </c>
      <c r="E16" s="38"/>
      <c r="F16" s="4" t="s">
        <v>50</v>
      </c>
      <c r="G16" s="9">
        <v>125610.6</v>
      </c>
      <c r="H16" s="9">
        <f>125610.6/2</f>
        <v>62805.3</v>
      </c>
    </row>
    <row r="17" spans="1:8" ht="28.9" customHeight="1" x14ac:dyDescent="0.25">
      <c r="A17" s="23">
        <v>4</v>
      </c>
      <c r="B17" s="4">
        <v>4</v>
      </c>
      <c r="C17" s="5">
        <v>1</v>
      </c>
      <c r="D17" s="38" t="s">
        <v>28</v>
      </c>
      <c r="E17" s="38"/>
      <c r="F17" s="4" t="s">
        <v>51</v>
      </c>
      <c r="G17" s="9">
        <v>405293</v>
      </c>
      <c r="H17" s="9">
        <f>170000</f>
        <v>170000</v>
      </c>
    </row>
    <row r="18" spans="1:8" ht="27.6" customHeight="1" x14ac:dyDescent="0.25">
      <c r="A18" s="23">
        <v>5</v>
      </c>
      <c r="B18" s="4">
        <v>5</v>
      </c>
      <c r="C18" s="5" t="s">
        <v>12</v>
      </c>
      <c r="D18" s="38" t="s">
        <v>29</v>
      </c>
      <c r="E18" s="38"/>
      <c r="F18" s="4" t="s">
        <v>0</v>
      </c>
      <c r="G18" s="9">
        <v>306000</v>
      </c>
      <c r="H18" s="9">
        <v>153000</v>
      </c>
    </row>
    <row r="19" spans="1:8" ht="26.45" customHeight="1" x14ac:dyDescent="0.25">
      <c r="A19" s="23">
        <v>6</v>
      </c>
      <c r="B19" s="4">
        <v>6</v>
      </c>
      <c r="C19" s="5">
        <v>1</v>
      </c>
      <c r="D19" s="38" t="s">
        <v>30</v>
      </c>
      <c r="E19" s="38"/>
      <c r="F19" s="4" t="s">
        <v>0</v>
      </c>
      <c r="G19" s="9">
        <v>314604</v>
      </c>
      <c r="H19" s="9">
        <f>314604/2</f>
        <v>157302</v>
      </c>
    </row>
    <row r="20" spans="1:8" ht="27" customHeight="1" x14ac:dyDescent="0.25">
      <c r="A20" s="23">
        <v>7</v>
      </c>
      <c r="B20" s="4">
        <v>8</v>
      </c>
      <c r="C20" s="5" t="s">
        <v>13</v>
      </c>
      <c r="D20" s="38" t="s">
        <v>31</v>
      </c>
      <c r="E20" s="38"/>
      <c r="F20" s="4" t="s">
        <v>0</v>
      </c>
      <c r="G20" s="9">
        <v>264000</v>
      </c>
      <c r="H20" s="9">
        <f>95000+18000/2+54000/2</f>
        <v>131000</v>
      </c>
    </row>
    <row r="21" spans="1:8" ht="28.15" customHeight="1" x14ac:dyDescent="0.25">
      <c r="A21" s="23">
        <v>8</v>
      </c>
      <c r="B21" s="4">
        <v>9</v>
      </c>
      <c r="C21" s="5">
        <v>1</v>
      </c>
      <c r="D21" s="38" t="s">
        <v>32</v>
      </c>
      <c r="E21" s="38"/>
      <c r="F21" s="4" t="s">
        <v>0</v>
      </c>
      <c r="G21" s="9">
        <v>524400</v>
      </c>
      <c r="H21" s="9">
        <f>170000</f>
        <v>170000</v>
      </c>
    </row>
    <row r="22" spans="1:8" ht="24.6" customHeight="1" x14ac:dyDescent="0.25">
      <c r="A22" s="23">
        <v>9</v>
      </c>
      <c r="B22" s="4">
        <v>10</v>
      </c>
      <c r="C22" s="5">
        <v>1</v>
      </c>
      <c r="D22" s="38" t="s">
        <v>33</v>
      </c>
      <c r="E22" s="38"/>
      <c r="F22" s="4" t="s">
        <v>0</v>
      </c>
      <c r="G22" s="9">
        <v>785066.4</v>
      </c>
      <c r="H22" s="9">
        <f>170000</f>
        <v>170000</v>
      </c>
    </row>
    <row r="23" spans="1:8" ht="25.15" customHeight="1" x14ac:dyDescent="0.25">
      <c r="A23" s="23">
        <v>10</v>
      </c>
      <c r="B23" s="4">
        <v>11</v>
      </c>
      <c r="C23" s="5">
        <v>1</v>
      </c>
      <c r="D23" s="38" t="s">
        <v>34</v>
      </c>
      <c r="E23" s="38"/>
      <c r="F23" s="4" t="s">
        <v>53</v>
      </c>
      <c r="G23" s="9">
        <v>342420</v>
      </c>
      <c r="H23" s="9">
        <f>170000</f>
        <v>170000</v>
      </c>
    </row>
    <row r="24" spans="1:8" ht="28.15" customHeight="1" x14ac:dyDescent="0.25">
      <c r="A24" s="23">
        <v>11</v>
      </c>
      <c r="B24" s="4">
        <v>12</v>
      </c>
      <c r="C24" s="5" t="s">
        <v>1</v>
      </c>
      <c r="D24" s="38" t="s">
        <v>35</v>
      </c>
      <c r="E24" s="38"/>
      <c r="F24" s="4" t="s">
        <v>0</v>
      </c>
      <c r="G24" s="9">
        <v>349600</v>
      </c>
      <c r="H24" s="9">
        <f>140400/2+5000+95000</f>
        <v>170200</v>
      </c>
    </row>
    <row r="25" spans="1:8" ht="28.15" customHeight="1" x14ac:dyDescent="0.25">
      <c r="A25" s="23">
        <v>12</v>
      </c>
      <c r="B25" s="4">
        <v>13</v>
      </c>
      <c r="C25" s="5" t="s">
        <v>3</v>
      </c>
      <c r="D25" s="38" t="s">
        <v>36</v>
      </c>
      <c r="E25" s="38"/>
      <c r="F25" s="4" t="s">
        <v>52</v>
      </c>
      <c r="G25" s="9">
        <v>377920</v>
      </c>
      <c r="H25" s="9">
        <f>241200/2+108720/2+9000+5000</f>
        <v>188960</v>
      </c>
    </row>
    <row r="26" spans="1:8" ht="29.45" customHeight="1" x14ac:dyDescent="0.25">
      <c r="A26" s="23">
        <v>13</v>
      </c>
      <c r="B26" s="4">
        <v>15</v>
      </c>
      <c r="C26" s="5">
        <v>1</v>
      </c>
      <c r="D26" s="38" t="s">
        <v>40</v>
      </c>
      <c r="E26" s="38"/>
      <c r="F26" s="4" t="s">
        <v>0</v>
      </c>
      <c r="G26" s="9">
        <v>333000</v>
      </c>
      <c r="H26" s="9">
        <f>333000/2</f>
        <v>166500</v>
      </c>
    </row>
    <row r="27" spans="1:8" ht="28.9" customHeight="1" x14ac:dyDescent="0.25">
      <c r="A27" s="23">
        <v>14</v>
      </c>
      <c r="B27" s="4">
        <v>16</v>
      </c>
      <c r="C27" s="5">
        <v>1</v>
      </c>
      <c r="D27" s="38" t="s">
        <v>41</v>
      </c>
      <c r="E27" s="38"/>
      <c r="F27" s="4" t="s">
        <v>0</v>
      </c>
      <c r="G27" s="9">
        <v>355920</v>
      </c>
      <c r="H27" s="9">
        <v>170000</v>
      </c>
    </row>
    <row r="28" spans="1:8" ht="28.9" customHeight="1" x14ac:dyDescent="0.25">
      <c r="A28" s="23">
        <v>15</v>
      </c>
      <c r="B28" s="4">
        <v>18</v>
      </c>
      <c r="C28" s="5" t="s">
        <v>4</v>
      </c>
      <c r="D28" s="38" t="s">
        <v>42</v>
      </c>
      <c r="E28" s="38"/>
      <c r="F28" s="4" t="s">
        <v>0</v>
      </c>
      <c r="G28" s="9">
        <v>1390000</v>
      </c>
      <c r="H28" s="9">
        <f>320000+20000+15000+95000+130000+9000</f>
        <v>589000</v>
      </c>
    </row>
    <row r="29" spans="1:8" ht="26.45" customHeight="1" x14ac:dyDescent="0.25">
      <c r="A29" s="23">
        <v>16</v>
      </c>
      <c r="B29" s="4">
        <v>19</v>
      </c>
      <c r="C29" s="5">
        <v>1</v>
      </c>
      <c r="D29" s="38" t="s">
        <v>43</v>
      </c>
      <c r="E29" s="38"/>
      <c r="F29" s="4" t="s">
        <v>0</v>
      </c>
      <c r="G29" s="9">
        <v>444120</v>
      </c>
      <c r="H29" s="9">
        <v>170000</v>
      </c>
    </row>
    <row r="30" spans="1:8" ht="25.9" customHeight="1" x14ac:dyDescent="0.25">
      <c r="A30" s="23">
        <v>17</v>
      </c>
      <c r="B30" s="4">
        <v>20</v>
      </c>
      <c r="C30" s="5" t="s">
        <v>1</v>
      </c>
      <c r="D30" s="38" t="s">
        <v>44</v>
      </c>
      <c r="E30" s="38"/>
      <c r="F30" s="4" t="s">
        <v>0</v>
      </c>
      <c r="G30" s="9">
        <v>528000</v>
      </c>
      <c r="H30" s="9">
        <f>95000+130000+9000</f>
        <v>234000</v>
      </c>
    </row>
    <row r="31" spans="1:8" ht="27" customHeight="1" x14ac:dyDescent="0.25">
      <c r="A31" s="23">
        <v>18</v>
      </c>
      <c r="B31" s="4">
        <v>21</v>
      </c>
      <c r="C31" s="5" t="s">
        <v>3</v>
      </c>
      <c r="D31" s="38" t="s">
        <v>45</v>
      </c>
      <c r="E31" s="38"/>
      <c r="F31" s="4" t="s">
        <v>0</v>
      </c>
      <c r="G31" s="9">
        <v>544800</v>
      </c>
      <c r="H31" s="9">
        <v>268600</v>
      </c>
    </row>
    <row r="32" spans="1:8" ht="27.6" customHeight="1" x14ac:dyDescent="0.25">
      <c r="A32" s="23">
        <v>19</v>
      </c>
      <c r="B32" s="4">
        <v>22</v>
      </c>
      <c r="C32" s="5">
        <v>1</v>
      </c>
      <c r="D32" s="38" t="s">
        <v>46</v>
      </c>
      <c r="E32" s="38"/>
      <c r="F32" s="4" t="s">
        <v>0</v>
      </c>
      <c r="G32" s="9">
        <v>335220</v>
      </c>
      <c r="H32" s="9">
        <f>335220/2</f>
        <v>167610</v>
      </c>
    </row>
    <row r="33" spans="1:8" ht="27.6" customHeight="1" x14ac:dyDescent="0.25">
      <c r="A33" s="23">
        <v>20</v>
      </c>
      <c r="B33" s="4">
        <v>23</v>
      </c>
      <c r="C33" s="5">
        <v>1</v>
      </c>
      <c r="D33" s="38" t="s">
        <v>47</v>
      </c>
      <c r="E33" s="38"/>
      <c r="F33" s="4" t="s">
        <v>0</v>
      </c>
      <c r="G33" s="9">
        <v>294900</v>
      </c>
      <c r="H33" s="9">
        <f>294900/2</f>
        <v>147450</v>
      </c>
    </row>
    <row r="34" spans="1:8" s="8" customFormat="1" ht="29.45" customHeight="1" x14ac:dyDescent="0.25">
      <c r="A34" s="16">
        <v>21</v>
      </c>
      <c r="B34" s="5">
        <v>24</v>
      </c>
      <c r="C34" s="5" t="s">
        <v>1</v>
      </c>
      <c r="D34" s="41" t="s">
        <v>48</v>
      </c>
      <c r="E34" s="41"/>
      <c r="F34" s="5" t="s">
        <v>52</v>
      </c>
      <c r="G34" s="19">
        <v>318400</v>
      </c>
      <c r="H34" s="19">
        <f>95000+110400/2+8000</f>
        <v>158200</v>
      </c>
    </row>
    <row r="35" spans="1:8" ht="28.9" customHeight="1" x14ac:dyDescent="0.25">
      <c r="A35" s="23">
        <v>22</v>
      </c>
      <c r="B35" s="4">
        <v>25</v>
      </c>
      <c r="C35" s="5" t="s">
        <v>3</v>
      </c>
      <c r="D35" s="38" t="s">
        <v>49</v>
      </c>
      <c r="E35" s="38"/>
      <c r="F35" s="4" t="s">
        <v>0</v>
      </c>
      <c r="G35" s="9">
        <v>409600</v>
      </c>
      <c r="H35" s="19">
        <f>241200/2+140400/2+9000+5000</f>
        <v>204800</v>
      </c>
    </row>
    <row r="36" spans="1:8" ht="31.15" customHeight="1" x14ac:dyDescent="0.25">
      <c r="A36" s="23">
        <v>23</v>
      </c>
      <c r="B36" s="4">
        <v>27</v>
      </c>
      <c r="C36" s="5" t="s">
        <v>1</v>
      </c>
      <c r="D36" s="38" t="s">
        <v>59</v>
      </c>
      <c r="E36" s="38"/>
      <c r="F36" s="4" t="s">
        <v>0</v>
      </c>
      <c r="G36" s="9">
        <v>288000</v>
      </c>
      <c r="H36" s="9">
        <f>95000+54000/2+9000</f>
        <v>131000</v>
      </c>
    </row>
    <row r="37" spans="1:8" ht="27" customHeight="1" x14ac:dyDescent="0.25">
      <c r="A37" s="23">
        <v>24</v>
      </c>
      <c r="B37" s="4">
        <v>28</v>
      </c>
      <c r="C37" s="5" t="s">
        <v>1</v>
      </c>
      <c r="D37" s="38" t="s">
        <v>60</v>
      </c>
      <c r="E37" s="38"/>
      <c r="F37" s="4" t="s">
        <v>0</v>
      </c>
      <c r="G37" s="9">
        <v>510000</v>
      </c>
      <c r="H37" s="9">
        <f>95000+130000+9000</f>
        <v>234000</v>
      </c>
    </row>
    <row r="38" spans="1:8" ht="28.9" customHeight="1" x14ac:dyDescent="0.25">
      <c r="A38" s="23">
        <v>25</v>
      </c>
      <c r="B38" s="4">
        <v>30</v>
      </c>
      <c r="C38" s="5">
        <v>1</v>
      </c>
      <c r="D38" s="38" t="s">
        <v>61</v>
      </c>
      <c r="E38" s="38"/>
      <c r="F38" s="4" t="s">
        <v>0</v>
      </c>
      <c r="G38" s="9">
        <v>432120</v>
      </c>
      <c r="H38" s="9">
        <v>170000</v>
      </c>
    </row>
    <row r="39" spans="1:8" ht="27" customHeight="1" x14ac:dyDescent="0.25">
      <c r="A39" s="23">
        <v>26</v>
      </c>
      <c r="B39" s="4">
        <v>31</v>
      </c>
      <c r="C39" s="5" t="s">
        <v>3</v>
      </c>
      <c r="D39" s="38" t="s">
        <v>62</v>
      </c>
      <c r="E39" s="38"/>
      <c r="F39" s="4" t="s">
        <v>51</v>
      </c>
      <c r="G39" s="9">
        <v>642000</v>
      </c>
      <c r="H39" s="9">
        <f>140000+130000+9000+9000</f>
        <v>288000</v>
      </c>
    </row>
    <row r="40" spans="1:8" ht="27" customHeight="1" x14ac:dyDescent="0.25">
      <c r="A40" s="23">
        <v>27</v>
      </c>
      <c r="B40" s="4">
        <v>32</v>
      </c>
      <c r="C40" s="5" t="s">
        <v>3</v>
      </c>
      <c r="D40" s="38" t="s">
        <v>63</v>
      </c>
      <c r="E40" s="38"/>
      <c r="F40" s="4" t="s">
        <v>0</v>
      </c>
      <c r="G40" s="9">
        <f>320000+315000+42000</f>
        <v>677000</v>
      </c>
      <c r="H40" s="9">
        <f>140000+130000+9000+9000</f>
        <v>288000</v>
      </c>
    </row>
    <row r="41" spans="1:8" ht="26.25" customHeight="1" x14ac:dyDescent="0.25">
      <c r="A41" s="23">
        <v>28</v>
      </c>
      <c r="B41" s="4">
        <v>33</v>
      </c>
      <c r="C41" s="5">
        <v>1</v>
      </c>
      <c r="D41" s="38" t="s">
        <v>64</v>
      </c>
      <c r="E41" s="38"/>
      <c r="F41" s="4" t="s">
        <v>0</v>
      </c>
      <c r="G41" s="9">
        <v>583088</v>
      </c>
      <c r="H41" s="9">
        <v>170000</v>
      </c>
    </row>
    <row r="42" spans="1:8" ht="26.25" customHeight="1" x14ac:dyDescent="0.25">
      <c r="A42" s="23">
        <v>29</v>
      </c>
      <c r="B42" s="4">
        <v>34</v>
      </c>
      <c r="C42" s="5" t="s">
        <v>1</v>
      </c>
      <c r="D42" s="38" t="s">
        <v>65</v>
      </c>
      <c r="E42" s="38"/>
      <c r="F42" s="4" t="s">
        <v>0</v>
      </c>
      <c r="G42" s="9">
        <f>397200+16000</f>
        <v>413200</v>
      </c>
      <c r="H42" s="9">
        <f>95000+198000/2+8000</f>
        <v>202000</v>
      </c>
    </row>
    <row r="43" spans="1:8" s="8" customFormat="1" ht="27.6" customHeight="1" x14ac:dyDescent="0.25">
      <c r="A43" s="16">
        <v>30</v>
      </c>
      <c r="B43" s="5">
        <v>35</v>
      </c>
      <c r="C43" s="5">
        <v>1</v>
      </c>
      <c r="D43" s="41" t="s">
        <v>66</v>
      </c>
      <c r="E43" s="41"/>
      <c r="F43" s="5" t="s">
        <v>54</v>
      </c>
      <c r="G43" s="19">
        <v>391200</v>
      </c>
      <c r="H43" s="19">
        <v>170000</v>
      </c>
    </row>
    <row r="44" spans="1:8" ht="27" customHeight="1" x14ac:dyDescent="0.25">
      <c r="A44" s="23">
        <v>31</v>
      </c>
      <c r="B44" s="4">
        <v>36</v>
      </c>
      <c r="C44" s="5" t="s">
        <v>6</v>
      </c>
      <c r="D44" s="38" t="s">
        <v>67</v>
      </c>
      <c r="E44" s="38"/>
      <c r="F44" s="4" t="s">
        <v>0</v>
      </c>
      <c r="G44" s="9">
        <f>320400+16000+429480</f>
        <v>765880</v>
      </c>
      <c r="H44" s="9">
        <f>170000+95000+128400/2+16000/2</f>
        <v>337200</v>
      </c>
    </row>
    <row r="45" spans="1:8" ht="27.6" customHeight="1" x14ac:dyDescent="0.25">
      <c r="A45" s="23">
        <v>32</v>
      </c>
      <c r="B45" s="4">
        <v>37</v>
      </c>
      <c r="C45" s="5">
        <v>1</v>
      </c>
      <c r="D45" s="38" t="s">
        <v>68</v>
      </c>
      <c r="E45" s="38"/>
      <c r="F45" s="4" t="s">
        <v>0</v>
      </c>
      <c r="G45" s="9">
        <v>395520</v>
      </c>
      <c r="H45" s="9">
        <f>170000</f>
        <v>170000</v>
      </c>
    </row>
    <row r="46" spans="1:8" ht="31.15" customHeight="1" x14ac:dyDescent="0.25">
      <c r="A46" s="23">
        <v>33</v>
      </c>
      <c r="B46" s="4">
        <v>38</v>
      </c>
      <c r="C46" s="5" t="s">
        <v>1</v>
      </c>
      <c r="D46" s="38" t="s">
        <v>69</v>
      </c>
      <c r="E46" s="38"/>
      <c r="F46" s="4" t="s">
        <v>0</v>
      </c>
      <c r="G46" s="9">
        <v>282000</v>
      </c>
      <c r="H46" s="9">
        <f>95000+72000/2+9000</f>
        <v>140000</v>
      </c>
    </row>
    <row r="47" spans="1:8" ht="31.9" customHeight="1" x14ac:dyDescent="0.25">
      <c r="A47" s="23">
        <v>34</v>
      </c>
      <c r="B47" s="4">
        <v>39</v>
      </c>
      <c r="C47" s="5" t="s">
        <v>1</v>
      </c>
      <c r="D47" s="38" t="s">
        <v>70</v>
      </c>
      <c r="E47" s="38"/>
      <c r="F47" s="4" t="s">
        <v>52</v>
      </c>
      <c r="G47" s="9">
        <f>319848+16000</f>
        <v>335848</v>
      </c>
      <c r="H47" s="9">
        <f>95000+127848/2+8000</f>
        <v>166924</v>
      </c>
    </row>
    <row r="48" spans="1:8" ht="32.25" customHeight="1" x14ac:dyDescent="0.25">
      <c r="A48" s="23">
        <v>35</v>
      </c>
      <c r="B48" s="4">
        <v>40</v>
      </c>
      <c r="C48" s="5" t="s">
        <v>1</v>
      </c>
      <c r="D48" s="38" t="s">
        <v>71</v>
      </c>
      <c r="E48" s="38"/>
      <c r="F48" s="4" t="s">
        <v>0</v>
      </c>
      <c r="G48" s="9">
        <v>296400</v>
      </c>
      <c r="H48" s="9">
        <f>95000+84000/2+9000</f>
        <v>146000</v>
      </c>
    </row>
    <row r="49" spans="1:8" ht="30.6" customHeight="1" x14ac:dyDescent="0.25">
      <c r="A49" s="23">
        <v>36</v>
      </c>
      <c r="B49" s="4">
        <v>41</v>
      </c>
      <c r="C49" s="5" t="s">
        <v>15</v>
      </c>
      <c r="D49" s="38" t="s">
        <v>72</v>
      </c>
      <c r="E49" s="38"/>
      <c r="F49" s="4" t="s">
        <v>0</v>
      </c>
      <c r="G49" s="9">
        <f>337200+16000+868296</f>
        <v>1221496</v>
      </c>
      <c r="H49" s="9">
        <f>95000+145200/2+8000+868296/2</f>
        <v>609748</v>
      </c>
    </row>
    <row r="50" spans="1:8" ht="29.45" customHeight="1" x14ac:dyDescent="0.25">
      <c r="A50" s="23">
        <v>37</v>
      </c>
      <c r="B50" s="4">
        <v>42</v>
      </c>
      <c r="C50" s="5" t="s">
        <v>7</v>
      </c>
      <c r="D50" s="38" t="s">
        <v>73</v>
      </c>
      <c r="E50" s="38"/>
      <c r="F50" s="4" t="s">
        <v>50</v>
      </c>
      <c r="G50" s="9">
        <f>170940+762903.8</f>
        <v>933843.8</v>
      </c>
      <c r="H50" s="9">
        <f>170940/2+762903.8/2</f>
        <v>466921.9</v>
      </c>
    </row>
    <row r="51" spans="1:8" ht="27" customHeight="1" x14ac:dyDescent="0.25">
      <c r="A51" s="23">
        <v>38</v>
      </c>
      <c r="B51" s="4">
        <v>43</v>
      </c>
      <c r="C51" s="5">
        <v>1</v>
      </c>
      <c r="D51" s="38" t="s">
        <v>74</v>
      </c>
      <c r="E51" s="38"/>
      <c r="F51" s="4" t="s">
        <v>55</v>
      </c>
      <c r="G51" s="9">
        <v>303900</v>
      </c>
      <c r="H51" s="9">
        <f>303900/2</f>
        <v>151950</v>
      </c>
    </row>
    <row r="52" spans="1:8" ht="33" customHeight="1" x14ac:dyDescent="0.25">
      <c r="A52" s="23">
        <v>39</v>
      </c>
      <c r="B52" s="4">
        <v>44</v>
      </c>
      <c r="C52" s="5" t="s">
        <v>1</v>
      </c>
      <c r="D52" s="38" t="s">
        <v>75</v>
      </c>
      <c r="E52" s="38"/>
      <c r="F52" s="4" t="s">
        <v>0</v>
      </c>
      <c r="G52" s="9">
        <f>286800+16000</f>
        <v>302800</v>
      </c>
      <c r="H52" s="9">
        <f>95000+94800/2+8000</f>
        <v>150400</v>
      </c>
    </row>
    <row r="53" spans="1:8" ht="27" customHeight="1" x14ac:dyDescent="0.25">
      <c r="A53" s="23">
        <v>40</v>
      </c>
      <c r="B53" s="4">
        <v>45</v>
      </c>
      <c r="C53" s="5" t="s">
        <v>5</v>
      </c>
      <c r="D53" s="41" t="s">
        <v>76</v>
      </c>
      <c r="E53" s="41"/>
      <c r="F53" s="4" t="s">
        <v>0</v>
      </c>
      <c r="G53" s="9">
        <f>270000+16000</f>
        <v>286000</v>
      </c>
      <c r="H53" s="9">
        <f>95000+8000</f>
        <v>103000</v>
      </c>
    </row>
    <row r="54" spans="1:8" ht="28.15" customHeight="1" x14ac:dyDescent="0.25">
      <c r="A54" s="23">
        <v>41</v>
      </c>
      <c r="B54" s="4">
        <v>46</v>
      </c>
      <c r="C54" s="5" t="s">
        <v>2</v>
      </c>
      <c r="D54" s="41" t="s">
        <v>77</v>
      </c>
      <c r="E54" s="41"/>
      <c r="F54" s="4" t="s">
        <v>0</v>
      </c>
      <c r="G54" s="9">
        <f>760000+80000</f>
        <v>840000</v>
      </c>
      <c r="H54" s="9">
        <f>320000+20000+15000</f>
        <v>355000</v>
      </c>
    </row>
    <row r="55" spans="1:8" ht="30.6" customHeight="1" x14ac:dyDescent="0.25">
      <c r="A55" s="23">
        <v>42</v>
      </c>
      <c r="B55" s="4">
        <v>47</v>
      </c>
      <c r="C55" s="5">
        <v>1</v>
      </c>
      <c r="D55" s="38" t="s">
        <v>78</v>
      </c>
      <c r="E55" s="38"/>
      <c r="F55" s="4" t="s">
        <v>0</v>
      </c>
      <c r="G55" s="9">
        <v>516465.6</v>
      </c>
      <c r="H55" s="9">
        <v>170000</v>
      </c>
    </row>
    <row r="56" spans="1:8" ht="31.5" customHeight="1" x14ac:dyDescent="0.25">
      <c r="A56" s="23">
        <v>43</v>
      </c>
      <c r="B56" s="4">
        <v>48</v>
      </c>
      <c r="C56" s="5">
        <v>1</v>
      </c>
      <c r="D56" s="38" t="s">
        <v>79</v>
      </c>
      <c r="E56" s="38"/>
      <c r="F56" s="4" t="s">
        <v>0</v>
      </c>
      <c r="G56" s="9">
        <v>341340</v>
      </c>
      <c r="H56" s="9">
        <f>170000</f>
        <v>170000</v>
      </c>
    </row>
    <row r="57" spans="1:8" ht="30" customHeight="1" x14ac:dyDescent="0.25">
      <c r="A57" s="23">
        <v>44</v>
      </c>
      <c r="B57" s="4">
        <v>50</v>
      </c>
      <c r="C57" s="5">
        <v>1</v>
      </c>
      <c r="D57" s="41" t="s">
        <v>80</v>
      </c>
      <c r="E57" s="41"/>
      <c r="F57" s="4" t="s">
        <v>0</v>
      </c>
      <c r="G57" s="9">
        <v>401996</v>
      </c>
      <c r="H57" s="9">
        <f>170000</f>
        <v>170000</v>
      </c>
    </row>
    <row r="58" spans="1:8" ht="30.75" customHeight="1" x14ac:dyDescent="0.25">
      <c r="A58" s="23">
        <v>45</v>
      </c>
      <c r="B58" s="4">
        <v>51</v>
      </c>
      <c r="C58" s="5" t="s">
        <v>1</v>
      </c>
      <c r="D58" s="41" t="s">
        <v>81</v>
      </c>
      <c r="E58" s="41"/>
      <c r="F58" s="4" t="s">
        <v>0</v>
      </c>
      <c r="G58" s="9">
        <v>330000</v>
      </c>
      <c r="H58" s="9">
        <f>95000+96000/2+9000</f>
        <v>152000</v>
      </c>
    </row>
    <row r="59" spans="1:8" ht="29.45" customHeight="1" x14ac:dyDescent="0.25">
      <c r="A59" s="23">
        <v>46</v>
      </c>
      <c r="B59" s="4">
        <v>52</v>
      </c>
      <c r="C59" s="5" t="s">
        <v>8</v>
      </c>
      <c r="D59" s="38" t="s">
        <v>82</v>
      </c>
      <c r="E59" s="38"/>
      <c r="F59" s="4" t="s">
        <v>0</v>
      </c>
      <c r="G59" s="9">
        <f>282300+520000+18000</f>
        <v>820300</v>
      </c>
      <c r="H59" s="9">
        <f>282300/2+140000+9000</f>
        <v>290150</v>
      </c>
    </row>
    <row r="60" spans="1:8" ht="26.45" customHeight="1" x14ac:dyDescent="0.25">
      <c r="A60" s="23">
        <v>47</v>
      </c>
      <c r="B60" s="4">
        <v>53</v>
      </c>
      <c r="C60" s="5">
        <v>1</v>
      </c>
      <c r="D60" s="41" t="s">
        <v>83</v>
      </c>
      <c r="E60" s="41"/>
      <c r="F60" s="4" t="s">
        <v>0</v>
      </c>
      <c r="G60" s="9">
        <v>229739.51999999999</v>
      </c>
      <c r="H60" s="9">
        <f>229739.52/2</f>
        <v>114869.75999999999</v>
      </c>
    </row>
    <row r="61" spans="1:8" ht="28.9" customHeight="1" x14ac:dyDescent="0.25">
      <c r="A61" s="23">
        <v>48</v>
      </c>
      <c r="B61" s="4">
        <v>55</v>
      </c>
      <c r="C61" s="5">
        <v>1</v>
      </c>
      <c r="D61" s="41" t="s">
        <v>84</v>
      </c>
      <c r="E61" s="41"/>
      <c r="F61" s="4" t="s">
        <v>0</v>
      </c>
      <c r="G61" s="9">
        <v>249297.25</v>
      </c>
      <c r="H61" s="9">
        <f>249297.25/2</f>
        <v>124648.625</v>
      </c>
    </row>
    <row r="62" spans="1:8" s="14" customFormat="1" ht="29.45" customHeight="1" x14ac:dyDescent="0.25">
      <c r="A62" s="24">
        <v>49</v>
      </c>
      <c r="B62" s="6">
        <v>57</v>
      </c>
      <c r="C62" s="3" t="s">
        <v>3</v>
      </c>
      <c r="D62" s="42" t="s">
        <v>85</v>
      </c>
      <c r="E62" s="42"/>
      <c r="F62" s="6" t="s">
        <v>0</v>
      </c>
      <c r="G62" s="10">
        <f>354000</f>
        <v>354000</v>
      </c>
      <c r="H62" s="10">
        <f>140000+36000/2+9000+9000</f>
        <v>176000</v>
      </c>
    </row>
    <row r="63" spans="1:8" ht="24.75" customHeight="1" x14ac:dyDescent="0.25">
      <c r="A63" s="23">
        <v>50</v>
      </c>
      <c r="B63" s="4">
        <v>58</v>
      </c>
      <c r="C63" s="5" t="s">
        <v>1</v>
      </c>
      <c r="D63" s="41" t="s">
        <v>86</v>
      </c>
      <c r="E63" s="41"/>
      <c r="F63" s="4" t="s">
        <v>56</v>
      </c>
      <c r="G63" s="9">
        <f>321000+16000</f>
        <v>337000</v>
      </c>
      <c r="H63" s="9">
        <f>95000+129000/2+8000</f>
        <v>167500</v>
      </c>
    </row>
    <row r="64" spans="1:8" ht="29.45" customHeight="1" x14ac:dyDescent="0.25">
      <c r="A64" s="23">
        <v>51</v>
      </c>
      <c r="B64" s="4">
        <v>59</v>
      </c>
      <c r="C64" s="5">
        <v>1</v>
      </c>
      <c r="D64" s="41" t="s">
        <v>87</v>
      </c>
      <c r="E64" s="41"/>
      <c r="F64" s="4" t="s">
        <v>0</v>
      </c>
      <c r="G64" s="9">
        <v>398564.4</v>
      </c>
      <c r="H64" s="9">
        <f>170000</f>
        <v>170000</v>
      </c>
    </row>
    <row r="65" spans="1:8" ht="25.9" customHeight="1" x14ac:dyDescent="0.25">
      <c r="A65" s="23">
        <v>52</v>
      </c>
      <c r="B65" s="4">
        <v>61</v>
      </c>
      <c r="C65" s="5">
        <v>2</v>
      </c>
      <c r="D65" s="41" t="s">
        <v>88</v>
      </c>
      <c r="E65" s="41"/>
      <c r="F65" s="4" t="s">
        <v>0</v>
      </c>
      <c r="G65" s="9">
        <v>599400</v>
      </c>
      <c r="H65" s="9">
        <f>G65/2</f>
        <v>299700</v>
      </c>
    </row>
    <row r="66" spans="1:8" ht="28.9" customHeight="1" x14ac:dyDescent="0.25">
      <c r="A66" s="23">
        <v>53</v>
      </c>
      <c r="B66" s="4">
        <v>62</v>
      </c>
      <c r="C66" s="5" t="s">
        <v>2</v>
      </c>
      <c r="D66" s="41" t="s">
        <v>89</v>
      </c>
      <c r="E66" s="41"/>
      <c r="F66" s="4" t="s">
        <v>57</v>
      </c>
      <c r="G66" s="9">
        <f>534225.24+90000</f>
        <v>624225.24</v>
      </c>
      <c r="H66" s="9">
        <f>534225.24/2+20000+15000</f>
        <v>302112.62</v>
      </c>
    </row>
    <row r="67" spans="1:8" ht="29.25" customHeight="1" x14ac:dyDescent="0.25">
      <c r="A67" s="23">
        <v>54</v>
      </c>
      <c r="B67" s="4">
        <v>63</v>
      </c>
      <c r="C67" s="5" t="s">
        <v>3</v>
      </c>
      <c r="D67" s="43" t="s">
        <v>90</v>
      </c>
      <c r="E67" s="43"/>
      <c r="F67" s="4" t="s">
        <v>0</v>
      </c>
      <c r="G67" s="20">
        <f>481800+18000+18000</f>
        <v>517800</v>
      </c>
      <c r="H67" s="9">
        <f>241200/2+240600/2+9000+9000</f>
        <v>258900</v>
      </c>
    </row>
    <row r="68" spans="1:8" ht="28.9" customHeight="1" x14ac:dyDescent="0.25">
      <c r="A68" s="23">
        <v>55</v>
      </c>
      <c r="B68" s="2">
        <v>64</v>
      </c>
      <c r="C68" s="3" t="s">
        <v>3</v>
      </c>
      <c r="D68" s="43" t="s">
        <v>91</v>
      </c>
      <c r="E68" s="43"/>
      <c r="F68" s="2" t="s">
        <v>0</v>
      </c>
      <c r="G68" s="20">
        <f>370000+18000</f>
        <v>388000</v>
      </c>
      <c r="H68" s="20">
        <f>140000+9000</f>
        <v>149000</v>
      </c>
    </row>
    <row r="69" spans="1:8" ht="32.25" customHeight="1" x14ac:dyDescent="0.25">
      <c r="A69" s="23">
        <v>56</v>
      </c>
      <c r="B69" s="2">
        <v>65</v>
      </c>
      <c r="C69" s="3" t="s">
        <v>14</v>
      </c>
      <c r="D69" s="43" t="s">
        <v>92</v>
      </c>
      <c r="E69" s="43"/>
      <c r="F69" s="2" t="s">
        <v>0</v>
      </c>
      <c r="G69" s="20">
        <f>267000</f>
        <v>267000</v>
      </c>
      <c r="H69" s="20">
        <f>175800/2+91200/2</f>
        <v>133500</v>
      </c>
    </row>
    <row r="70" spans="1:8" ht="27" customHeight="1" x14ac:dyDescent="0.25">
      <c r="A70" s="23">
        <v>57</v>
      </c>
      <c r="B70" s="2">
        <v>66</v>
      </c>
      <c r="C70" s="3">
        <v>1</v>
      </c>
      <c r="D70" s="43" t="s">
        <v>93</v>
      </c>
      <c r="E70" s="43"/>
      <c r="F70" s="2" t="s">
        <v>0</v>
      </c>
      <c r="G70" s="20">
        <f>1125917.29</f>
        <v>1125917.29</v>
      </c>
      <c r="H70" s="20">
        <v>170000</v>
      </c>
    </row>
    <row r="71" spans="1:8" s="8" customFormat="1" ht="27.6" customHeight="1" x14ac:dyDescent="0.25">
      <c r="A71" s="16">
        <v>58</v>
      </c>
      <c r="B71" s="2">
        <v>67</v>
      </c>
      <c r="C71" s="3" t="s">
        <v>1</v>
      </c>
      <c r="D71" s="43" t="s">
        <v>94</v>
      </c>
      <c r="E71" s="43"/>
      <c r="F71" s="2" t="s">
        <v>0</v>
      </c>
      <c r="G71" s="20">
        <v>298800</v>
      </c>
      <c r="H71" s="20">
        <f>95000+94800/2+6000</f>
        <v>148400</v>
      </c>
    </row>
    <row r="72" spans="1:8" ht="33.6" customHeight="1" x14ac:dyDescent="0.25">
      <c r="A72" s="23">
        <v>59</v>
      </c>
      <c r="B72" s="2">
        <v>68</v>
      </c>
      <c r="C72" s="3" t="s">
        <v>14</v>
      </c>
      <c r="D72" s="43" t="s">
        <v>95</v>
      </c>
      <c r="E72" s="43"/>
      <c r="F72" s="2" t="s">
        <v>0</v>
      </c>
      <c r="G72" s="20">
        <v>234000</v>
      </c>
      <c r="H72" s="20">
        <f>95000+15000</f>
        <v>110000</v>
      </c>
    </row>
    <row r="73" spans="1:8" ht="32.25" customHeight="1" x14ac:dyDescent="0.25">
      <c r="A73" s="23">
        <v>60</v>
      </c>
      <c r="B73" s="2">
        <v>69</v>
      </c>
      <c r="C73" s="3">
        <v>1</v>
      </c>
      <c r="D73" s="43" t="s">
        <v>96</v>
      </c>
      <c r="E73" s="43"/>
      <c r="F73" s="2" t="s">
        <v>0</v>
      </c>
      <c r="G73" s="20">
        <v>391075.63</v>
      </c>
      <c r="H73" s="20">
        <v>170000</v>
      </c>
    </row>
    <row r="74" spans="1:8" ht="30.6" customHeight="1" x14ac:dyDescent="0.25">
      <c r="A74" s="23">
        <v>61</v>
      </c>
      <c r="B74" s="2">
        <v>70</v>
      </c>
      <c r="C74" s="3">
        <v>1</v>
      </c>
      <c r="D74" s="43" t="s">
        <v>97</v>
      </c>
      <c r="E74" s="43"/>
      <c r="F74" s="2" t="s">
        <v>0</v>
      </c>
      <c r="G74" s="20">
        <v>426833</v>
      </c>
      <c r="H74" s="20">
        <v>170000</v>
      </c>
    </row>
    <row r="75" spans="1:8" ht="30.75" customHeight="1" x14ac:dyDescent="0.25">
      <c r="A75" s="23">
        <v>62</v>
      </c>
      <c r="B75" s="2">
        <v>71</v>
      </c>
      <c r="C75" s="3">
        <v>1</v>
      </c>
      <c r="D75" s="43" t="s">
        <v>98</v>
      </c>
      <c r="E75" s="43"/>
      <c r="F75" s="2" t="s">
        <v>0</v>
      </c>
      <c r="G75" s="20">
        <v>404812.4</v>
      </c>
      <c r="H75" s="20">
        <v>170000</v>
      </c>
    </row>
    <row r="76" spans="1:8" ht="31.15" customHeight="1" x14ac:dyDescent="0.25">
      <c r="A76" s="23">
        <v>63</v>
      </c>
      <c r="B76" s="2">
        <v>72</v>
      </c>
      <c r="C76" s="3" t="s">
        <v>1</v>
      </c>
      <c r="D76" s="43" t="s">
        <v>99</v>
      </c>
      <c r="E76" s="43"/>
      <c r="F76" s="2" t="s">
        <v>0</v>
      </c>
      <c r="G76" s="20">
        <f>210000+100000+16000</f>
        <v>326000</v>
      </c>
      <c r="H76" s="20">
        <f>95000+50000+8000</f>
        <v>153000</v>
      </c>
    </row>
    <row r="77" spans="1:8" ht="28.9" customHeight="1" x14ac:dyDescent="0.25">
      <c r="A77" s="23">
        <v>64</v>
      </c>
      <c r="B77" s="2">
        <v>73</v>
      </c>
      <c r="C77" s="3">
        <v>1</v>
      </c>
      <c r="D77" s="43" t="s">
        <v>100</v>
      </c>
      <c r="E77" s="43"/>
      <c r="F77" s="2" t="s">
        <v>52</v>
      </c>
      <c r="G77" s="20">
        <v>389774.7</v>
      </c>
      <c r="H77" s="20">
        <v>170000</v>
      </c>
    </row>
    <row r="78" spans="1:8" ht="31.9" customHeight="1" x14ac:dyDescent="0.25">
      <c r="A78" s="23">
        <v>65</v>
      </c>
      <c r="B78" s="2">
        <v>75</v>
      </c>
      <c r="C78" s="3" t="s">
        <v>9</v>
      </c>
      <c r="D78" s="43" t="s">
        <v>101</v>
      </c>
      <c r="E78" s="43"/>
      <c r="F78" s="2" t="s">
        <v>58</v>
      </c>
      <c r="G78" s="20">
        <f>877200+227919+90000</f>
        <v>1195119</v>
      </c>
      <c r="H78" s="20">
        <f>227919*0.55+352000+22000+16500</f>
        <v>515855.45</v>
      </c>
    </row>
    <row r="79" spans="1:8" ht="27.75" customHeight="1" x14ac:dyDescent="0.25">
      <c r="A79" s="23">
        <v>66</v>
      </c>
      <c r="B79" s="2">
        <v>76</v>
      </c>
      <c r="C79" s="3" t="s">
        <v>10</v>
      </c>
      <c r="D79" s="43" t="s">
        <v>102</v>
      </c>
      <c r="E79" s="43"/>
      <c r="F79" s="2" t="s">
        <v>0</v>
      </c>
      <c r="G79" s="20">
        <f>310000+18000</f>
        <v>328000</v>
      </c>
      <c r="H79" s="20">
        <f>140000+9000</f>
        <v>149000</v>
      </c>
    </row>
    <row r="80" spans="1:8" s="8" customFormat="1" ht="31.15" customHeight="1" x14ac:dyDescent="0.25">
      <c r="A80" s="16">
        <v>67</v>
      </c>
      <c r="B80" s="15">
        <v>77</v>
      </c>
      <c r="C80" s="3" t="s">
        <v>11</v>
      </c>
      <c r="D80" s="44" t="s">
        <v>103</v>
      </c>
      <c r="E80" s="44"/>
      <c r="F80" s="15" t="s">
        <v>0</v>
      </c>
      <c r="G80" s="21">
        <f>330000+18000</f>
        <v>348000</v>
      </c>
      <c r="H80" s="21">
        <v>149000</v>
      </c>
    </row>
    <row r="81" spans="1:8" s="8" customFormat="1" ht="27" customHeight="1" x14ac:dyDescent="0.25">
      <c r="A81" s="16">
        <v>68</v>
      </c>
      <c r="B81" s="15">
        <v>78</v>
      </c>
      <c r="C81" s="3">
        <v>1</v>
      </c>
      <c r="D81" s="44" t="s">
        <v>104</v>
      </c>
      <c r="E81" s="44"/>
      <c r="F81" s="15" t="s">
        <v>0</v>
      </c>
      <c r="G81" s="21">
        <v>296847.59999999998</v>
      </c>
      <c r="H81" s="21">
        <f>296847.6/2</f>
        <v>148423.79999999999</v>
      </c>
    </row>
    <row r="82" spans="1:8" ht="30.75" customHeight="1" x14ac:dyDescent="0.25">
      <c r="A82" s="23">
        <v>69</v>
      </c>
      <c r="B82" s="2">
        <v>79</v>
      </c>
      <c r="C82" s="3" t="s">
        <v>2</v>
      </c>
      <c r="D82" s="43" t="s">
        <v>105</v>
      </c>
      <c r="E82" s="43"/>
      <c r="F82" s="2" t="s">
        <v>50</v>
      </c>
      <c r="G82" s="20">
        <f>456000+80000</f>
        <v>536000</v>
      </c>
      <c r="H82" s="20">
        <f>456000/2+20000+15000</f>
        <v>263000</v>
      </c>
    </row>
    <row r="83" spans="1:8" ht="27" customHeight="1" x14ac:dyDescent="0.25">
      <c r="A83" s="23">
        <v>70</v>
      </c>
      <c r="B83" s="2">
        <v>80</v>
      </c>
      <c r="C83" s="3">
        <v>1</v>
      </c>
      <c r="D83" s="43" t="s">
        <v>106</v>
      </c>
      <c r="E83" s="43"/>
      <c r="F83" s="2" t="s">
        <v>50</v>
      </c>
      <c r="G83" s="20">
        <f>465700</f>
        <v>465700</v>
      </c>
      <c r="H83" s="20">
        <f>170000</f>
        <v>170000</v>
      </c>
    </row>
    <row r="84" spans="1:8" ht="28.9" customHeight="1" x14ac:dyDescent="0.25">
      <c r="A84" s="23">
        <v>71</v>
      </c>
      <c r="B84" s="2">
        <v>81</v>
      </c>
      <c r="C84" s="3" t="s">
        <v>11</v>
      </c>
      <c r="D84" s="43" t="s">
        <v>107</v>
      </c>
      <c r="E84" s="43"/>
      <c r="F84" s="2" t="s">
        <v>0</v>
      </c>
      <c r="G84" s="20">
        <f>370000+18000</f>
        <v>388000</v>
      </c>
      <c r="H84" s="20">
        <f>140000+9000</f>
        <v>149000</v>
      </c>
    </row>
    <row r="85" spans="1:8" s="8" customFormat="1" ht="31.5" customHeight="1" x14ac:dyDescent="0.25">
      <c r="A85" s="16">
        <v>72</v>
      </c>
      <c r="B85" s="15">
        <v>82</v>
      </c>
      <c r="C85" s="3">
        <v>1</v>
      </c>
      <c r="D85" s="44" t="s">
        <v>108</v>
      </c>
      <c r="E85" s="44"/>
      <c r="F85" s="15" t="s">
        <v>0</v>
      </c>
      <c r="G85" s="21">
        <v>629239.19999999995</v>
      </c>
      <c r="H85" s="21">
        <v>170000</v>
      </c>
    </row>
    <row r="86" spans="1:8" ht="28.15" customHeight="1" x14ac:dyDescent="0.25">
      <c r="A86" s="23">
        <v>73</v>
      </c>
      <c r="B86" s="2">
        <v>84</v>
      </c>
      <c r="C86" s="3">
        <v>1</v>
      </c>
      <c r="D86" s="43" t="s">
        <v>109</v>
      </c>
      <c r="E86" s="43"/>
      <c r="F86" s="2" t="s">
        <v>0</v>
      </c>
      <c r="G86" s="20">
        <f>688044</f>
        <v>688044</v>
      </c>
      <c r="H86" s="20">
        <v>170000</v>
      </c>
    </row>
    <row r="87" spans="1:8" s="8" customFormat="1" ht="31.15" customHeight="1" x14ac:dyDescent="0.25">
      <c r="A87" s="16">
        <v>74</v>
      </c>
      <c r="B87" s="15">
        <v>86</v>
      </c>
      <c r="C87" s="3">
        <v>1</v>
      </c>
      <c r="D87" s="44" t="s">
        <v>110</v>
      </c>
      <c r="E87" s="44"/>
      <c r="F87" s="15" t="s">
        <v>0</v>
      </c>
      <c r="G87" s="21">
        <v>406560</v>
      </c>
      <c r="H87" s="21">
        <v>170000</v>
      </c>
    </row>
    <row r="88" spans="1:8" s="8" customFormat="1" ht="31.15" customHeight="1" x14ac:dyDescent="0.25">
      <c r="A88" s="16">
        <v>75</v>
      </c>
      <c r="B88" s="2">
        <v>87</v>
      </c>
      <c r="C88" s="3">
        <v>1</v>
      </c>
      <c r="D88" s="43" t="s">
        <v>111</v>
      </c>
      <c r="E88" s="43"/>
      <c r="F88" s="2" t="s">
        <v>0</v>
      </c>
      <c r="G88" s="20">
        <v>293289.59999999998</v>
      </c>
      <c r="H88" s="20">
        <f>293289.6/2</f>
        <v>146644.79999999999</v>
      </c>
    </row>
    <row r="89" spans="1:8" ht="28.9" customHeight="1" x14ac:dyDescent="0.25">
      <c r="A89" s="23">
        <v>76</v>
      </c>
      <c r="B89" s="2">
        <v>88</v>
      </c>
      <c r="C89" s="3">
        <v>1</v>
      </c>
      <c r="D89" s="43" t="s">
        <v>112</v>
      </c>
      <c r="E89" s="43"/>
      <c r="F89" s="2" t="s">
        <v>0</v>
      </c>
      <c r="G89" s="20">
        <f>205800</f>
        <v>205800</v>
      </c>
      <c r="H89" s="20">
        <f>205800/2</f>
        <v>102900</v>
      </c>
    </row>
    <row r="90" spans="1:8" ht="31.5" customHeight="1" x14ac:dyDescent="0.25">
      <c r="A90" s="23">
        <v>77</v>
      </c>
      <c r="B90" s="2">
        <v>89</v>
      </c>
      <c r="C90" s="3" t="s">
        <v>3</v>
      </c>
      <c r="D90" s="43" t="s">
        <v>113</v>
      </c>
      <c r="E90" s="43"/>
      <c r="F90" s="2" t="s">
        <v>0</v>
      </c>
      <c r="G90" s="20">
        <f>685200+18000+18000</f>
        <v>721200</v>
      </c>
      <c r="H90" s="20">
        <f>241200/2+130000+9000+9000</f>
        <v>268600</v>
      </c>
    </row>
    <row r="91" spans="1:8" ht="31.15" customHeight="1" x14ac:dyDescent="0.25">
      <c r="A91" s="23">
        <v>78</v>
      </c>
      <c r="B91" s="2">
        <v>90</v>
      </c>
      <c r="C91" s="3">
        <v>1</v>
      </c>
      <c r="D91" s="43" t="s">
        <v>114</v>
      </c>
      <c r="E91" s="43"/>
      <c r="F91" s="2" t="s">
        <v>0</v>
      </c>
      <c r="G91" s="20">
        <v>334900.8</v>
      </c>
      <c r="H91" s="20">
        <f>334900.8/2</f>
        <v>167450.4</v>
      </c>
    </row>
    <row r="92" spans="1:8" ht="31.5" customHeight="1" x14ac:dyDescent="0.25">
      <c r="A92" s="23">
        <v>79</v>
      </c>
      <c r="B92" s="2">
        <v>91</v>
      </c>
      <c r="C92" s="3">
        <v>1</v>
      </c>
      <c r="D92" s="43" t="s">
        <v>115</v>
      </c>
      <c r="E92" s="43"/>
      <c r="F92" s="2" t="s">
        <v>0</v>
      </c>
      <c r="G92" s="20">
        <v>97600</v>
      </c>
      <c r="H92" s="20">
        <f>97600/2</f>
        <v>48800</v>
      </c>
    </row>
    <row r="93" spans="1:8" ht="31.5" customHeight="1" x14ac:dyDescent="0.25">
      <c r="A93" s="23">
        <v>80</v>
      </c>
      <c r="B93" s="6">
        <v>92</v>
      </c>
      <c r="C93" s="3" t="s">
        <v>3</v>
      </c>
      <c r="D93" s="42" t="s">
        <v>116</v>
      </c>
      <c r="E93" s="42"/>
      <c r="F93" s="6" t="s">
        <v>0</v>
      </c>
      <c r="G93" s="10">
        <f>624000</f>
        <v>624000</v>
      </c>
      <c r="H93" s="10">
        <v>288000</v>
      </c>
    </row>
    <row r="94" spans="1:8" ht="31.5" customHeight="1" x14ac:dyDescent="0.25">
      <c r="A94" s="23">
        <v>81</v>
      </c>
      <c r="B94" s="2">
        <v>93</v>
      </c>
      <c r="C94" s="3" t="s">
        <v>3</v>
      </c>
      <c r="D94" s="43" t="s">
        <v>117</v>
      </c>
      <c r="E94" s="43"/>
      <c r="F94" s="2" t="s">
        <v>0</v>
      </c>
      <c r="G94" s="20">
        <v>443200</v>
      </c>
      <c r="H94" s="20">
        <v>221600</v>
      </c>
    </row>
    <row r="95" spans="1:8" ht="31.5" customHeight="1" x14ac:dyDescent="0.25">
      <c r="A95" s="23">
        <v>82</v>
      </c>
      <c r="B95" s="2">
        <v>94</v>
      </c>
      <c r="C95" s="3">
        <v>1</v>
      </c>
      <c r="D95" s="43" t="s">
        <v>118</v>
      </c>
      <c r="E95" s="43"/>
      <c r="F95" s="2" t="s">
        <v>50</v>
      </c>
      <c r="G95" s="20">
        <v>392640</v>
      </c>
      <c r="H95" s="20">
        <v>170000</v>
      </c>
    </row>
    <row r="96" spans="1:8" ht="32.450000000000003" customHeight="1" x14ac:dyDescent="0.25">
      <c r="A96" s="23">
        <v>83</v>
      </c>
      <c r="B96" s="2">
        <v>95</v>
      </c>
      <c r="C96" s="3">
        <v>1</v>
      </c>
      <c r="D96" s="43" t="s">
        <v>119</v>
      </c>
      <c r="E96" s="43"/>
      <c r="F96" s="2" t="s">
        <v>0</v>
      </c>
      <c r="G96" s="20">
        <v>424238.4</v>
      </c>
      <c r="H96" s="20">
        <v>170000</v>
      </c>
    </row>
    <row r="97" spans="1:8" ht="31.5" customHeight="1" x14ac:dyDescent="0.25">
      <c r="A97" s="23">
        <v>84</v>
      </c>
      <c r="B97" s="2">
        <v>96</v>
      </c>
      <c r="C97" s="3">
        <v>1</v>
      </c>
      <c r="D97" s="43" t="s">
        <v>120</v>
      </c>
      <c r="E97" s="43"/>
      <c r="F97" s="2" t="s">
        <v>0</v>
      </c>
      <c r="G97" s="20">
        <v>202236</v>
      </c>
      <c r="H97" s="20">
        <f>202236/2</f>
        <v>101118</v>
      </c>
    </row>
    <row r="98" spans="1:8" ht="31.5" customHeight="1" x14ac:dyDescent="0.25">
      <c r="A98" s="23">
        <v>85</v>
      </c>
      <c r="B98" s="2">
        <v>97</v>
      </c>
      <c r="C98" s="3">
        <v>1</v>
      </c>
      <c r="D98" s="39" t="s">
        <v>121</v>
      </c>
      <c r="E98" s="39"/>
      <c r="F98" s="3" t="s">
        <v>0</v>
      </c>
      <c r="G98" s="22">
        <v>349080</v>
      </c>
      <c r="H98" s="22">
        <v>170000</v>
      </c>
    </row>
    <row r="99" spans="1:8" ht="31.5" customHeight="1" x14ac:dyDescent="0.25">
      <c r="A99" s="23">
        <v>86</v>
      </c>
      <c r="B99" s="2">
        <v>99</v>
      </c>
      <c r="C99" s="3">
        <v>9</v>
      </c>
      <c r="D99" s="39" t="s">
        <v>122</v>
      </c>
      <c r="E99" s="39"/>
      <c r="F99" s="3" t="s">
        <v>0</v>
      </c>
      <c r="G99" s="20">
        <v>762903.8</v>
      </c>
      <c r="H99" s="21">
        <f>762903.8/2</f>
        <v>381451.9</v>
      </c>
    </row>
    <row r="100" spans="1:8" ht="31.5" customHeight="1" x14ac:dyDescent="0.25">
      <c r="A100" s="23">
        <v>87</v>
      </c>
      <c r="B100" s="2">
        <v>100</v>
      </c>
      <c r="C100" s="3">
        <v>1</v>
      </c>
      <c r="D100" s="39" t="s">
        <v>123</v>
      </c>
      <c r="E100" s="39"/>
      <c r="F100" s="3" t="s">
        <v>0</v>
      </c>
      <c r="G100" s="20">
        <v>317880</v>
      </c>
      <c r="H100" s="21">
        <f>150000</f>
        <v>150000</v>
      </c>
    </row>
    <row r="101" spans="1:8" ht="31.5" customHeight="1" x14ac:dyDescent="0.25">
      <c r="A101" s="23">
        <v>88</v>
      </c>
      <c r="B101" s="2">
        <v>101</v>
      </c>
      <c r="C101" s="3" t="s">
        <v>3</v>
      </c>
      <c r="D101" s="39" t="s">
        <v>124</v>
      </c>
      <c r="E101" s="39"/>
      <c r="F101" s="3" t="s">
        <v>0</v>
      </c>
      <c r="G101" s="20">
        <f>270000+195000+18000+18000</f>
        <v>501000</v>
      </c>
      <c r="H101" s="21">
        <f>270000/2+195000/2+9000+9000</f>
        <v>250500</v>
      </c>
    </row>
    <row r="102" spans="1:8" ht="31.5" customHeight="1" x14ac:dyDescent="0.25">
      <c r="A102" s="23">
        <v>89</v>
      </c>
      <c r="B102" s="2">
        <v>102</v>
      </c>
      <c r="C102" s="3">
        <v>1</v>
      </c>
      <c r="D102" s="39" t="s">
        <v>125</v>
      </c>
      <c r="E102" s="39"/>
      <c r="F102" s="3" t="s">
        <v>0</v>
      </c>
      <c r="G102" s="20">
        <v>343652.4</v>
      </c>
      <c r="H102" s="21">
        <v>170000</v>
      </c>
    </row>
    <row r="103" spans="1:8" ht="31.5" customHeight="1" x14ac:dyDescent="0.25">
      <c r="A103" s="23">
        <v>90</v>
      </c>
      <c r="B103" s="2">
        <v>103</v>
      </c>
      <c r="C103" s="3" t="s">
        <v>3</v>
      </c>
      <c r="D103" s="39" t="s">
        <v>126</v>
      </c>
      <c r="E103" s="39"/>
      <c r="F103" s="3" t="s">
        <v>0</v>
      </c>
      <c r="G103" s="20">
        <f>356400+28000</f>
        <v>384400</v>
      </c>
      <c r="H103" s="21">
        <f>246000/2+110400/2+9000+5000</f>
        <v>192200</v>
      </c>
    </row>
    <row r="104" spans="1:8" s="8" customFormat="1" ht="31.5" customHeight="1" x14ac:dyDescent="0.25">
      <c r="A104" s="16">
        <v>91</v>
      </c>
      <c r="B104" s="15">
        <v>104</v>
      </c>
      <c r="C104" s="3" t="s">
        <v>11</v>
      </c>
      <c r="D104" s="39" t="s">
        <v>127</v>
      </c>
      <c r="E104" s="39"/>
      <c r="F104" s="3" t="s">
        <v>50</v>
      </c>
      <c r="G104" s="22">
        <f>325000+18000</f>
        <v>343000</v>
      </c>
      <c r="H104" s="22">
        <f>140000+9000</f>
        <v>149000</v>
      </c>
    </row>
    <row r="105" spans="1:8" ht="31.5" customHeight="1" x14ac:dyDescent="0.25">
      <c r="A105" s="23">
        <v>92</v>
      </c>
      <c r="B105" s="2">
        <v>105</v>
      </c>
      <c r="C105" s="3" t="s">
        <v>3</v>
      </c>
      <c r="D105" s="39" t="s">
        <v>128</v>
      </c>
      <c r="E105" s="39"/>
      <c r="F105" s="3" t="s">
        <v>0</v>
      </c>
      <c r="G105" s="20">
        <f>324600+18000</f>
        <v>342600</v>
      </c>
      <c r="H105" s="21">
        <f>248400/2+76200/2+9000</f>
        <v>171300</v>
      </c>
    </row>
    <row r="106" spans="1:8" ht="31.5" customHeight="1" x14ac:dyDescent="0.25">
      <c r="A106" s="23">
        <v>93</v>
      </c>
      <c r="B106" s="2">
        <v>106</v>
      </c>
      <c r="C106" s="3">
        <v>1</v>
      </c>
      <c r="D106" s="39" t="s">
        <v>129</v>
      </c>
      <c r="E106" s="39"/>
      <c r="F106" s="3" t="s">
        <v>50</v>
      </c>
      <c r="G106" s="20">
        <f>490214.04</f>
        <v>490214.04</v>
      </c>
      <c r="H106" s="21">
        <v>170000</v>
      </c>
    </row>
    <row r="107" spans="1:8" ht="31.5" customHeight="1" x14ac:dyDescent="0.25">
      <c r="A107" s="23">
        <v>94</v>
      </c>
      <c r="B107" s="2">
        <v>107</v>
      </c>
      <c r="C107" s="3">
        <v>1</v>
      </c>
      <c r="D107" s="39" t="s">
        <v>130</v>
      </c>
      <c r="E107" s="39"/>
      <c r="F107" s="3" t="s">
        <v>0</v>
      </c>
      <c r="G107" s="20">
        <f>369720</f>
        <v>369720</v>
      </c>
      <c r="H107" s="21">
        <f>150000</f>
        <v>150000</v>
      </c>
    </row>
    <row r="108" spans="1:8" ht="31.5" customHeight="1" x14ac:dyDescent="0.25">
      <c r="A108" s="23">
        <v>95</v>
      </c>
      <c r="B108" s="2">
        <v>108</v>
      </c>
      <c r="C108" s="3" t="s">
        <v>11</v>
      </c>
      <c r="D108" s="39" t="s">
        <v>131</v>
      </c>
      <c r="E108" s="39"/>
      <c r="F108" s="3" t="s">
        <v>50</v>
      </c>
      <c r="G108" s="20">
        <f>330000+18000</f>
        <v>348000</v>
      </c>
      <c r="H108" s="21">
        <f>140000+9000</f>
        <v>149000</v>
      </c>
    </row>
    <row r="109" spans="1:8" ht="31.5" customHeight="1" x14ac:dyDescent="0.25">
      <c r="A109" s="23">
        <v>96</v>
      </c>
      <c r="B109" s="2">
        <v>109</v>
      </c>
      <c r="C109" s="3" t="s">
        <v>1</v>
      </c>
      <c r="D109" s="39" t="s">
        <v>132</v>
      </c>
      <c r="E109" s="39"/>
      <c r="F109" s="3" t="s">
        <v>0</v>
      </c>
      <c r="G109" s="20">
        <f>313200+16000</f>
        <v>329200</v>
      </c>
      <c r="H109" s="21">
        <f>95000+121200/2+8000</f>
        <v>163600</v>
      </c>
    </row>
    <row r="110" spans="1:8" ht="31.5" customHeight="1" x14ac:dyDescent="0.25">
      <c r="A110" s="23">
        <v>97</v>
      </c>
      <c r="B110" s="2">
        <v>110</v>
      </c>
      <c r="C110" s="3">
        <v>9</v>
      </c>
      <c r="D110" s="39" t="s">
        <v>133</v>
      </c>
      <c r="E110" s="39"/>
      <c r="F110" s="3" t="s">
        <v>0</v>
      </c>
      <c r="G110" s="20">
        <f>878998.8</f>
        <v>878998.8</v>
      </c>
      <c r="H110" s="21">
        <f>878998.8/2</f>
        <v>439499.4</v>
      </c>
    </row>
    <row r="111" spans="1:8" ht="31.5" customHeight="1" x14ac:dyDescent="0.25">
      <c r="A111" s="23">
        <v>98</v>
      </c>
      <c r="B111" s="2">
        <v>111</v>
      </c>
      <c r="C111" s="3" t="s">
        <v>1</v>
      </c>
      <c r="D111" s="39" t="s">
        <v>134</v>
      </c>
      <c r="E111" s="39"/>
      <c r="F111" s="3" t="s">
        <v>0</v>
      </c>
      <c r="G111" s="20">
        <f>252000</f>
        <v>252000</v>
      </c>
      <c r="H111" s="21">
        <v>122000</v>
      </c>
    </row>
    <row r="112" spans="1:8" ht="31.5" customHeight="1" x14ac:dyDescent="0.25">
      <c r="A112" s="23">
        <v>99</v>
      </c>
      <c r="B112" s="2">
        <v>112</v>
      </c>
      <c r="C112" s="3" t="s">
        <v>11</v>
      </c>
      <c r="D112" s="39" t="s">
        <v>135</v>
      </c>
      <c r="E112" s="39"/>
      <c r="F112" s="3" t="s">
        <v>0</v>
      </c>
      <c r="G112" s="20">
        <f>292000+18000</f>
        <v>310000</v>
      </c>
      <c r="H112" s="21">
        <v>149000</v>
      </c>
    </row>
    <row r="113" spans="1:8" ht="31.5" customHeight="1" x14ac:dyDescent="0.25">
      <c r="A113" s="23">
        <v>100</v>
      </c>
      <c r="B113" s="2">
        <v>113</v>
      </c>
      <c r="C113" s="3" t="s">
        <v>2</v>
      </c>
      <c r="D113" s="39" t="s">
        <v>136</v>
      </c>
      <c r="E113" s="39"/>
      <c r="F113" s="3" t="s">
        <v>0</v>
      </c>
      <c r="G113" s="20">
        <v>857600</v>
      </c>
      <c r="H113" s="21">
        <v>355000</v>
      </c>
    </row>
    <row r="114" spans="1:8" ht="31.5" customHeight="1" x14ac:dyDescent="0.25">
      <c r="A114" s="23">
        <v>101</v>
      </c>
      <c r="B114" s="2">
        <v>114</v>
      </c>
      <c r="C114" s="3" t="s">
        <v>11</v>
      </c>
      <c r="D114" s="39" t="s">
        <v>137</v>
      </c>
      <c r="E114" s="39"/>
      <c r="F114" s="3" t="s">
        <v>0</v>
      </c>
      <c r="G114" s="20">
        <v>328000</v>
      </c>
      <c r="H114" s="21">
        <v>149000</v>
      </c>
    </row>
    <row r="115" spans="1:8" ht="31.5" customHeight="1" x14ac:dyDescent="0.25">
      <c r="A115" s="23">
        <v>102</v>
      </c>
      <c r="B115" s="2">
        <v>115</v>
      </c>
      <c r="C115" s="3" t="s">
        <v>1</v>
      </c>
      <c r="D115" s="50" t="s">
        <v>154</v>
      </c>
      <c r="E115" s="51"/>
      <c r="F115" s="3" t="s">
        <v>0</v>
      </c>
      <c r="G115" s="29">
        <v>336400</v>
      </c>
      <c r="H115" s="21">
        <v>101704.04</v>
      </c>
    </row>
    <row r="116" spans="1:8" ht="27.6" customHeight="1" x14ac:dyDescent="0.25">
      <c r="A116" s="45" t="s">
        <v>17</v>
      </c>
      <c r="B116" s="45"/>
      <c r="C116" s="45"/>
      <c r="D116" s="45"/>
      <c r="E116" s="45"/>
      <c r="F116" s="45"/>
      <c r="G116" s="11">
        <f>SUM(G14:G115)</f>
        <v>46120014.469999984</v>
      </c>
      <c r="H116" s="11">
        <f>SUM(H14:H115)</f>
        <v>19999999.994999997</v>
      </c>
    </row>
    <row r="117" spans="1:8" ht="12" customHeight="1" x14ac:dyDescent="0.25">
      <c r="B117" s="1"/>
      <c r="C117" s="1"/>
      <c r="D117" s="1"/>
      <c r="E117" s="1"/>
      <c r="F117" s="1"/>
      <c r="G117" s="12"/>
      <c r="H117" s="13"/>
    </row>
    <row r="118" spans="1:8" ht="31.15" customHeight="1" x14ac:dyDescent="0.25">
      <c r="A118" s="35" t="s">
        <v>23</v>
      </c>
      <c r="B118" s="35"/>
      <c r="C118" s="35"/>
      <c r="D118" s="35"/>
      <c r="E118" s="35"/>
      <c r="F118" s="35"/>
      <c r="G118" s="35"/>
      <c r="H118" s="35"/>
    </row>
    <row r="119" spans="1:8" ht="45" customHeight="1" x14ac:dyDescent="0.25">
      <c r="A119" s="35" t="s">
        <v>37</v>
      </c>
      <c r="B119" s="35"/>
      <c r="C119" s="35"/>
      <c r="D119" s="35"/>
      <c r="E119" s="35"/>
      <c r="F119" s="35"/>
      <c r="G119" s="35"/>
      <c r="H119" s="35"/>
    </row>
    <row r="120" spans="1:8" ht="22.15" customHeight="1" x14ac:dyDescent="0.25">
      <c r="A120" s="48" t="s">
        <v>38</v>
      </c>
      <c r="B120" s="49"/>
      <c r="C120" s="49"/>
      <c r="D120" s="49"/>
      <c r="E120" s="49"/>
      <c r="F120" s="49"/>
      <c r="G120" s="49"/>
      <c r="H120" s="49"/>
    </row>
    <row r="121" spans="1:8" ht="48.6" customHeight="1" x14ac:dyDescent="0.25">
      <c r="A121" s="34" t="s">
        <v>152</v>
      </c>
      <c r="B121" s="34"/>
      <c r="C121" s="34"/>
      <c r="D121" s="34"/>
      <c r="E121" s="34"/>
      <c r="F121" s="34"/>
      <c r="G121" s="34"/>
      <c r="H121" s="34"/>
    </row>
    <row r="122" spans="1:8" ht="64.5" customHeight="1" x14ac:dyDescent="0.25">
      <c r="A122" s="34" t="s">
        <v>138</v>
      </c>
      <c r="B122" s="46"/>
      <c r="C122" s="46"/>
      <c r="D122" s="46"/>
      <c r="E122" s="46"/>
      <c r="F122" s="46"/>
      <c r="G122" s="46"/>
      <c r="H122" s="46"/>
    </row>
    <row r="123" spans="1:8" ht="126" customHeight="1" x14ac:dyDescent="0.25">
      <c r="A123" s="34" t="s">
        <v>139</v>
      </c>
      <c r="B123" s="34"/>
      <c r="C123" s="34"/>
      <c r="D123" s="34"/>
      <c r="E123" s="34"/>
      <c r="F123" s="34"/>
      <c r="G123" s="34"/>
      <c r="H123" s="34"/>
    </row>
    <row r="124" spans="1:8" ht="60.6" customHeight="1" x14ac:dyDescent="0.25">
      <c r="A124" s="34" t="s">
        <v>153</v>
      </c>
      <c r="B124" s="47"/>
      <c r="C124" s="47"/>
      <c r="D124" s="47"/>
      <c r="E124" s="47"/>
      <c r="F124" s="47"/>
      <c r="G124" s="47"/>
      <c r="H124" s="47"/>
    </row>
    <row r="125" spans="1:8" ht="30.6" customHeight="1" x14ac:dyDescent="0.25">
      <c r="A125" s="34" t="s">
        <v>140</v>
      </c>
      <c r="B125" s="34"/>
      <c r="C125" s="34"/>
      <c r="D125" s="34"/>
      <c r="E125" s="34"/>
      <c r="F125" s="34"/>
      <c r="G125" s="34"/>
      <c r="H125" s="34"/>
    </row>
    <row r="126" spans="1:8" ht="45.75" customHeight="1" x14ac:dyDescent="0.25">
      <c r="A126" s="34" t="s">
        <v>151</v>
      </c>
      <c r="B126" s="34"/>
      <c r="C126" s="34"/>
      <c r="D126" s="34"/>
      <c r="E126" s="34"/>
      <c r="F126" s="34"/>
      <c r="G126" s="34"/>
      <c r="H126" s="34"/>
    </row>
    <row r="127" spans="1:8" ht="12" customHeight="1" x14ac:dyDescent="0.25"/>
    <row r="128" spans="1:8" ht="17.45" customHeight="1" x14ac:dyDescent="0.25">
      <c r="A128" s="54" t="s">
        <v>141</v>
      </c>
      <c r="B128" s="54"/>
      <c r="C128" s="54"/>
      <c r="D128" s="54"/>
      <c r="E128" s="54"/>
      <c r="F128" s="54"/>
      <c r="G128" s="54"/>
      <c r="H128" s="54"/>
    </row>
    <row r="129" spans="1:8" ht="8.4499999999999993" customHeight="1" x14ac:dyDescent="0.25"/>
    <row r="130" spans="1:8" ht="15.75" x14ac:dyDescent="0.25">
      <c r="A130" s="32" t="s">
        <v>142</v>
      </c>
      <c r="B130" s="32"/>
      <c r="C130" s="32"/>
    </row>
    <row r="131" spans="1:8" ht="9" customHeight="1" x14ac:dyDescent="0.25"/>
    <row r="132" spans="1:8" ht="15.75" x14ac:dyDescent="0.25">
      <c r="A132" s="25"/>
      <c r="B132" s="33" t="s">
        <v>149</v>
      </c>
      <c r="C132" s="33"/>
      <c r="D132" s="33"/>
    </row>
    <row r="133" spans="1:8" ht="15.75" x14ac:dyDescent="0.25">
      <c r="B133" s="33" t="s">
        <v>150</v>
      </c>
      <c r="C133" s="33"/>
      <c r="D133" s="33"/>
    </row>
    <row r="134" spans="1:8" ht="8.4499999999999993" customHeight="1" x14ac:dyDescent="0.25"/>
    <row r="135" spans="1:8" ht="15.75" x14ac:dyDescent="0.25">
      <c r="G135" s="37" t="s">
        <v>143</v>
      </c>
      <c r="H135" s="37"/>
    </row>
    <row r="136" spans="1:8" ht="15.75" x14ac:dyDescent="0.25">
      <c r="G136" s="52" t="s">
        <v>144</v>
      </c>
      <c r="H136" s="52"/>
    </row>
    <row r="137" spans="1:8" ht="15" customHeight="1" x14ac:dyDescent="0.25"/>
    <row r="138" spans="1:8" x14ac:dyDescent="0.25">
      <c r="G138" s="53"/>
      <c r="H138" s="53"/>
    </row>
  </sheetData>
  <mergeCells count="131">
    <mergeCell ref="B133:D133"/>
    <mergeCell ref="G135:H135"/>
    <mergeCell ref="G136:H136"/>
    <mergeCell ref="G138:H138"/>
    <mergeCell ref="A125:H125"/>
    <mergeCell ref="A126:H126"/>
    <mergeCell ref="A128:H128"/>
    <mergeCell ref="A130:C130"/>
    <mergeCell ref="B132:D132"/>
    <mergeCell ref="A116:F116"/>
    <mergeCell ref="A122:H122"/>
    <mergeCell ref="A123:H123"/>
    <mergeCell ref="A124:H124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A119:H119"/>
    <mergeCell ref="A120:H120"/>
    <mergeCell ref="A121:H121"/>
    <mergeCell ref="A118:H118"/>
    <mergeCell ref="D115:E115"/>
    <mergeCell ref="D105:E105"/>
    <mergeCell ref="D106:E106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2:E92"/>
    <mergeCell ref="D93:E93"/>
    <mergeCell ref="D94:E94"/>
    <mergeCell ref="D80:E80"/>
    <mergeCell ref="D81:E81"/>
    <mergeCell ref="D82:E82"/>
    <mergeCell ref="D75:E75"/>
    <mergeCell ref="D76:E76"/>
    <mergeCell ref="D77:E77"/>
    <mergeCell ref="D78:E78"/>
    <mergeCell ref="D79:E79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72:E72"/>
    <mergeCell ref="D73:E73"/>
    <mergeCell ref="D74:E74"/>
    <mergeCell ref="D71:E71"/>
    <mergeCell ref="D66:E66"/>
    <mergeCell ref="D67:E67"/>
    <mergeCell ref="D68:E68"/>
    <mergeCell ref="D69:E69"/>
    <mergeCell ref="D70:E70"/>
    <mergeCell ref="D62:E62"/>
    <mergeCell ref="D63:E63"/>
    <mergeCell ref="D64:E64"/>
    <mergeCell ref="D65:E65"/>
    <mergeCell ref="D57:E57"/>
    <mergeCell ref="D58:E58"/>
    <mergeCell ref="D59:E59"/>
    <mergeCell ref="D60:E60"/>
    <mergeCell ref="D61:E61"/>
    <mergeCell ref="D56:E56"/>
    <mergeCell ref="D50:E50"/>
    <mergeCell ref="D51:E51"/>
    <mergeCell ref="D52:E52"/>
    <mergeCell ref="D53:E53"/>
    <mergeCell ref="D54:E54"/>
    <mergeCell ref="D55:E55"/>
    <mergeCell ref="D45:E45"/>
    <mergeCell ref="D46:E46"/>
    <mergeCell ref="D47:E47"/>
    <mergeCell ref="D48:E48"/>
    <mergeCell ref="D49:E49"/>
    <mergeCell ref="D42:E42"/>
    <mergeCell ref="D43:E43"/>
    <mergeCell ref="D44:E44"/>
    <mergeCell ref="D39:E39"/>
    <mergeCell ref="D40:E40"/>
    <mergeCell ref="D34:E34"/>
    <mergeCell ref="D35:E35"/>
    <mergeCell ref="D36:E36"/>
    <mergeCell ref="D37:E37"/>
    <mergeCell ref="D38:E38"/>
    <mergeCell ref="D17:E17"/>
    <mergeCell ref="D18:E18"/>
    <mergeCell ref="D19:E19"/>
    <mergeCell ref="D20:E20"/>
    <mergeCell ref="D14:E14"/>
    <mergeCell ref="D13:E13"/>
    <mergeCell ref="D15:E15"/>
    <mergeCell ref="D16:E16"/>
    <mergeCell ref="D41:E41"/>
    <mergeCell ref="D33:E33"/>
    <mergeCell ref="D31:E31"/>
    <mergeCell ref="D32:E32"/>
    <mergeCell ref="D25:E25"/>
    <mergeCell ref="D21:E21"/>
    <mergeCell ref="D22:E22"/>
    <mergeCell ref="D23:E23"/>
    <mergeCell ref="D24:E24"/>
    <mergeCell ref="D26:E26"/>
    <mergeCell ref="D27:E27"/>
    <mergeCell ref="D28:E28"/>
    <mergeCell ref="D29:E29"/>
    <mergeCell ref="D30:E30"/>
    <mergeCell ref="A11:H12"/>
    <mergeCell ref="A1:D1"/>
    <mergeCell ref="A2:D2"/>
    <mergeCell ref="A3:D3"/>
    <mergeCell ref="A4:D4"/>
    <mergeCell ref="A6:D6"/>
    <mergeCell ref="A7:D7"/>
    <mergeCell ref="A5:E5"/>
    <mergeCell ref="A9:H9"/>
    <mergeCell ref="A10:H10"/>
    <mergeCell ref="A8:H8"/>
  </mergeCells>
  <pageMargins left="1.07" right="0.39" top="0.7" bottom="0.52" header="0.31496062992125984" footer="0.31496062992125984"/>
  <pageSetup paperSize="9" scale="82" fitToHeight="0" orientation="portrait" r:id="rId1"/>
  <ignoredErrors>
    <ignoredError sqref="C30:C31 C34:C35 C24:C25 C14 C36:C37 C39:C40 C42 C46:C48 C52 C58:C59 C62:C63 C67:C68 C71 C76 C78 C90 C93:C94 C101 C103 C105 C109 C111 C115" twoDigitTextYear="1"/>
    <ignoredError sqref="H16" formula="1"/>
    <ignoredError sqref="C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Gavrilović</dc:creator>
  <cp:lastModifiedBy>Svetlana Jovicevic</cp:lastModifiedBy>
  <cp:lastPrinted>2026-03-12T10:30:48Z</cp:lastPrinted>
  <dcterms:created xsi:type="dcterms:W3CDTF">2022-02-02T09:24:28Z</dcterms:created>
  <dcterms:modified xsi:type="dcterms:W3CDTF">2026-03-12T10:31:27Z</dcterms:modified>
</cp:coreProperties>
</file>